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hind\Desktop\"/>
    </mc:Choice>
  </mc:AlternateContent>
  <xr:revisionPtr revIDLastSave="0" documentId="13_ncr:1_{DF7C904C-B50A-444F-A4E8-A0C78F3F7AFA}" xr6:coauthVersionLast="36" xr6:coauthVersionMax="36" xr10:uidLastSave="{00000000-0000-0000-0000-000000000000}"/>
  <bookViews>
    <workbookView xWindow="0" yWindow="0" windowWidth="28800" windowHeight="12165" activeTab="6" xr2:uid="{00000000-000D-0000-FFFF-FFFF00000000}"/>
  </bookViews>
  <sheets>
    <sheet name="Пельменный" sheetId="1" r:id="rId1"/>
    <sheet name="Шокер" sheetId="12" r:id="rId2"/>
    <sheet name="Слойка" sheetId="8" r:id="rId3"/>
    <sheet name="Морсы" sheetId="14" r:id="rId4"/>
    <sheet name="Пирожковый" sheetId="13" r:id="rId5"/>
    <sheet name="Лист1" sheetId="18" state="hidden" r:id="rId6"/>
    <sheet name="Торты" sheetId="17" r:id="rId7"/>
    <sheet name="Прирост" sheetId="16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12" i="17" l="1"/>
  <c r="BL13" i="17"/>
  <c r="BL14" i="17"/>
  <c r="BL15" i="17"/>
  <c r="BL16" i="17"/>
  <c r="BL17" i="17"/>
  <c r="BL18" i="17"/>
  <c r="BL19" i="17"/>
  <c r="BL20" i="17"/>
  <c r="BL21" i="17"/>
  <c r="BL22" i="17"/>
  <c r="BL23" i="17"/>
  <c r="BL24" i="17"/>
  <c r="BL25" i="17"/>
  <c r="BL26" i="17"/>
  <c r="BL27" i="17"/>
  <c r="BL28" i="17"/>
  <c r="BL29" i="17"/>
  <c r="BL30" i="17"/>
  <c r="BL31" i="17"/>
  <c r="BL32" i="17"/>
  <c r="BL33" i="17"/>
  <c r="BL34" i="17"/>
  <c r="H8" i="17"/>
  <c r="BC8" i="1"/>
  <c r="BC8" i="12"/>
  <c r="K26" i="1"/>
  <c r="BA9" i="1" l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8" i="1"/>
  <c r="BC9" i="12"/>
  <c r="BC10" i="12"/>
  <c r="BC11" i="12"/>
  <c r="BC12" i="12"/>
  <c r="BC13" i="12"/>
  <c r="BC14" i="12"/>
  <c r="BC15" i="12"/>
  <c r="BC16" i="12"/>
  <c r="BC17" i="12"/>
  <c r="BC18" i="12"/>
  <c r="BC19" i="12"/>
  <c r="BC20" i="12"/>
  <c r="BC21" i="12"/>
  <c r="BC22" i="12"/>
  <c r="BC23" i="12"/>
  <c r="BC24" i="12"/>
  <c r="BH18" i="14"/>
  <c r="BC14" i="14"/>
  <c r="BH11" i="14"/>
  <c r="BC9" i="14"/>
  <c r="BC10" i="14"/>
  <c r="BC11" i="14"/>
  <c r="BC12" i="14"/>
  <c r="BC13" i="14"/>
  <c r="BC15" i="14"/>
  <c r="BC16" i="14"/>
  <c r="BC17" i="14"/>
  <c r="BC18" i="14"/>
  <c r="BC19" i="14"/>
  <c r="BC20" i="14"/>
  <c r="BC21" i="14"/>
  <c r="BC22" i="14"/>
  <c r="BC23" i="14"/>
  <c r="BC24" i="14"/>
  <c r="BC25" i="14"/>
  <c r="BC26" i="14"/>
  <c r="BC27" i="14"/>
  <c r="BC28" i="14"/>
  <c r="BC29" i="14"/>
  <c r="BC30" i="14"/>
  <c r="BC31" i="14"/>
  <c r="BC8" i="14"/>
  <c r="BD9" i="13"/>
  <c r="BD9" i="8"/>
  <c r="BD10" i="8"/>
  <c r="BD11" i="8"/>
  <c r="BD12" i="8"/>
  <c r="BD13" i="8"/>
  <c r="BD14" i="8"/>
  <c r="BD15" i="8"/>
  <c r="BD16" i="8"/>
  <c r="BD17" i="8"/>
  <c r="BD18" i="8"/>
  <c r="BD19" i="8"/>
  <c r="BD20" i="8"/>
  <c r="BD21" i="8"/>
  <c r="BD22" i="8"/>
  <c r="BD23" i="8"/>
  <c r="BD24" i="8"/>
  <c r="BD25" i="8"/>
  <c r="BD26" i="8"/>
  <c r="BD27" i="8"/>
  <c r="BD28" i="8"/>
  <c r="BD29" i="8"/>
  <c r="BD30" i="8"/>
  <c r="BD31" i="8"/>
  <c r="BD32" i="8"/>
  <c r="BD33" i="8"/>
  <c r="BD34" i="8"/>
  <c r="BD35" i="8"/>
  <c r="BD36" i="8"/>
  <c r="BD37" i="8"/>
  <c r="BD38" i="8"/>
  <c r="BD39" i="8"/>
  <c r="BD40" i="8"/>
  <c r="BD41" i="8"/>
  <c r="BD8" i="8"/>
  <c r="BF8" i="17"/>
  <c r="BF10" i="17"/>
  <c r="BC15" i="1" l="1"/>
  <c r="BG25" i="1" l="1"/>
  <c r="BF9" i="1"/>
  <c r="BD10" i="13" l="1"/>
  <c r="BD11" i="13"/>
  <c r="BD12" i="13"/>
  <c r="BD13" i="13"/>
  <c r="BD14" i="13"/>
  <c r="BD15" i="13"/>
  <c r="BD16" i="13"/>
  <c r="BD17" i="13"/>
  <c r="BD18" i="13"/>
  <c r="BD19" i="13"/>
  <c r="BD20" i="13"/>
  <c r="BD21" i="13"/>
  <c r="BD22" i="13"/>
  <c r="BD23" i="13"/>
  <c r="BD24" i="13"/>
  <c r="BD25" i="13"/>
  <c r="BD26" i="13"/>
  <c r="BD27" i="13"/>
  <c r="BD28" i="13"/>
  <c r="BD29" i="13"/>
  <c r="BD30" i="13"/>
  <c r="BD31" i="13"/>
  <c r="BD32" i="13"/>
  <c r="BD33" i="13"/>
  <c r="BD34" i="13"/>
  <c r="BD8" i="13"/>
  <c r="H10" i="17"/>
  <c r="G20" i="12"/>
  <c r="G9" i="12"/>
  <c r="G10" i="12"/>
  <c r="G11" i="12"/>
  <c r="G12" i="12"/>
  <c r="G13" i="12"/>
  <c r="G14" i="12"/>
  <c r="G15" i="12"/>
  <c r="G16" i="12"/>
  <c r="G17" i="12"/>
  <c r="G18" i="12"/>
  <c r="G19" i="12"/>
  <c r="G21" i="12"/>
  <c r="G22" i="12"/>
  <c r="G23" i="12"/>
  <c r="G24" i="12"/>
  <c r="G8" i="12"/>
  <c r="BF9" i="17" l="1"/>
  <c r="BF11" i="17"/>
  <c r="BF12" i="17"/>
  <c r="BF13" i="17"/>
  <c r="BF14" i="17"/>
  <c r="BF15" i="17"/>
  <c r="BF16" i="17"/>
  <c r="BF17" i="17"/>
  <c r="BF18" i="17"/>
  <c r="BF19" i="17"/>
  <c r="BF20" i="17"/>
  <c r="BF21" i="17"/>
  <c r="BF22" i="17"/>
  <c r="BF23" i="17"/>
  <c r="BF24" i="17"/>
  <c r="BF25" i="17"/>
  <c r="BF26" i="17"/>
  <c r="BF27" i="17"/>
  <c r="BF28" i="17"/>
  <c r="BF29" i="17"/>
  <c r="BF30" i="17"/>
  <c r="BF31" i="17"/>
  <c r="BF32" i="17"/>
  <c r="BF33" i="17"/>
  <c r="BF34" i="17"/>
  <c r="S10" i="17"/>
  <c r="R10" i="17" s="1"/>
  <c r="U10" i="17"/>
  <c r="U8" i="17"/>
  <c r="S8" i="17"/>
  <c r="R8" i="17" s="1"/>
  <c r="H9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C41" i="1" l="1"/>
  <c r="C40" i="1"/>
  <c r="C39" i="1"/>
  <c r="C38" i="1"/>
  <c r="C37" i="1"/>
  <c r="E39" i="12"/>
  <c r="E40" i="12"/>
  <c r="E41" i="12"/>
  <c r="E37" i="12"/>
  <c r="E38" i="12"/>
  <c r="D58" i="8"/>
  <c r="D57" i="8"/>
  <c r="D56" i="8"/>
  <c r="D55" i="8"/>
  <c r="D54" i="8"/>
  <c r="C48" i="14"/>
  <c r="C47" i="14"/>
  <c r="C46" i="14"/>
  <c r="C45" i="14"/>
  <c r="C44" i="14"/>
  <c r="D51" i="13"/>
  <c r="D50" i="13"/>
  <c r="D49" i="13"/>
  <c r="D48" i="13"/>
  <c r="D47" i="13"/>
  <c r="D48" i="17"/>
  <c r="D49" i="17"/>
  <c r="D50" i="17"/>
  <c r="D51" i="17"/>
  <c r="D47" i="17"/>
  <c r="BC48" i="17"/>
  <c r="BC47" i="17"/>
  <c r="BC46" i="17"/>
  <c r="BC45" i="17"/>
  <c r="BC44" i="17"/>
  <c r="BC43" i="17"/>
  <c r="BC42" i="17"/>
  <c r="BC58" i="17"/>
  <c r="BC57" i="17"/>
  <c r="BC56" i="17"/>
  <c r="BC55" i="17"/>
  <c r="BC54" i="17"/>
  <c r="BC53" i="17"/>
  <c r="BC52" i="17"/>
  <c r="BA49" i="13"/>
  <c r="BA56" i="13"/>
  <c r="BA48" i="13"/>
  <c r="BA47" i="13"/>
  <c r="BA46" i="13"/>
  <c r="BA45" i="13"/>
  <c r="BA44" i="13"/>
  <c r="BA43" i="13"/>
  <c r="BA42" i="13"/>
  <c r="BA60" i="13"/>
  <c r="BA59" i="13"/>
  <c r="BA58" i="13"/>
  <c r="BA57" i="13"/>
  <c r="BA55" i="13"/>
  <c r="BA54" i="13"/>
  <c r="BA53" i="13"/>
  <c r="AZ45" i="14"/>
  <c r="AZ44" i="14"/>
  <c r="AZ43" i="14"/>
  <c r="AZ42" i="14"/>
  <c r="AZ41" i="14"/>
  <c r="AZ40" i="14"/>
  <c r="AZ39" i="14"/>
  <c r="AZ55" i="14"/>
  <c r="AZ54" i="14"/>
  <c r="AZ53" i="14"/>
  <c r="AZ52" i="14"/>
  <c r="AZ51" i="14"/>
  <c r="AZ50" i="14"/>
  <c r="AZ49" i="14"/>
  <c r="BA55" i="8"/>
  <c r="BA54" i="8"/>
  <c r="BA53" i="8"/>
  <c r="BA52" i="8"/>
  <c r="BA51" i="8"/>
  <c r="BA50" i="8"/>
  <c r="BA49" i="8"/>
  <c r="BA65" i="8"/>
  <c r="BA64" i="8"/>
  <c r="BA63" i="8"/>
  <c r="BA62" i="8"/>
  <c r="BA61" i="8"/>
  <c r="BA60" i="8"/>
  <c r="BA59" i="8"/>
  <c r="AZ38" i="12"/>
  <c r="AZ37" i="12"/>
  <c r="AZ36" i="12"/>
  <c r="AZ35" i="12"/>
  <c r="AZ34" i="12"/>
  <c r="AZ33" i="12"/>
  <c r="AZ32" i="12"/>
  <c r="AZ48" i="12"/>
  <c r="AZ47" i="12"/>
  <c r="AZ46" i="12"/>
  <c r="AZ45" i="12"/>
  <c r="AZ44" i="12"/>
  <c r="AZ43" i="12"/>
  <c r="AZ42" i="12"/>
  <c r="AX42" i="1"/>
  <c r="AX43" i="1"/>
  <c r="AX44" i="1"/>
  <c r="AX45" i="1"/>
  <c r="AX46" i="1"/>
  <c r="AX47" i="1"/>
  <c r="AX48" i="1"/>
  <c r="AX32" i="1"/>
  <c r="AX33" i="1"/>
  <c r="AX34" i="1"/>
  <c r="AX35" i="1"/>
  <c r="AX36" i="1"/>
  <c r="AX37" i="1"/>
  <c r="AX38" i="1"/>
  <c r="BL11" i="17"/>
  <c r="BL10" i="17"/>
  <c r="BL9" i="17"/>
  <c r="BL8" i="17"/>
  <c r="BG1" i="17"/>
  <c r="BG2" i="17" s="1"/>
  <c r="BI31" i="13"/>
  <c r="BI32" i="13"/>
  <c r="BI33" i="13"/>
  <c r="BI34" i="13"/>
  <c r="BI30" i="13"/>
  <c r="BI29" i="13"/>
  <c r="BI28" i="13"/>
  <c r="BI27" i="13"/>
  <c r="BI26" i="13"/>
  <c r="BI25" i="13"/>
  <c r="BI24" i="13"/>
  <c r="BI23" i="13"/>
  <c r="BI22" i="13"/>
  <c r="BI21" i="13"/>
  <c r="BI20" i="13"/>
  <c r="BI19" i="13"/>
  <c r="BI18" i="13"/>
  <c r="BI17" i="13"/>
  <c r="BI16" i="13"/>
  <c r="BI15" i="13"/>
  <c r="BI14" i="13"/>
  <c r="BI13" i="13"/>
  <c r="BI12" i="13"/>
  <c r="BI11" i="13"/>
  <c r="BI10" i="13"/>
  <c r="BI9" i="13"/>
  <c r="BI8" i="13"/>
  <c r="BE1" i="13"/>
  <c r="BE2" i="13" s="1"/>
  <c r="BF13" i="13" s="1"/>
  <c r="BH31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7" i="14"/>
  <c r="BH16" i="14"/>
  <c r="BH15" i="14"/>
  <c r="BH14" i="14"/>
  <c r="BH13" i="14"/>
  <c r="BH12" i="14"/>
  <c r="BH10" i="14"/>
  <c r="BH9" i="14"/>
  <c r="BH8" i="14"/>
  <c r="BD1" i="14"/>
  <c r="BD2" i="14" s="1"/>
  <c r="BE13" i="14" s="1"/>
  <c r="BI25" i="8"/>
  <c r="BI26" i="8"/>
  <c r="BI27" i="8"/>
  <c r="BI28" i="8"/>
  <c r="BI29" i="8"/>
  <c r="BI30" i="8"/>
  <c r="BI31" i="8"/>
  <c r="BI32" i="8"/>
  <c r="BI33" i="8"/>
  <c r="BI34" i="8"/>
  <c r="BI35" i="8"/>
  <c r="BI36" i="8"/>
  <c r="BI37" i="8"/>
  <c r="BI38" i="8"/>
  <c r="BI39" i="8"/>
  <c r="BI40" i="8"/>
  <c r="BI41" i="8"/>
  <c r="BI24" i="8"/>
  <c r="BI23" i="8"/>
  <c r="BI22" i="8"/>
  <c r="BI21" i="8"/>
  <c r="BI19" i="8"/>
  <c r="BI18" i="8"/>
  <c r="BI17" i="8"/>
  <c r="BI16" i="8"/>
  <c r="BI15" i="8"/>
  <c r="BI14" i="8"/>
  <c r="BI13" i="8"/>
  <c r="BI12" i="8"/>
  <c r="BI11" i="8"/>
  <c r="BI10" i="8"/>
  <c r="BI9" i="8"/>
  <c r="BI8" i="8"/>
  <c r="BI20" i="8"/>
  <c r="BH8" i="12"/>
  <c r="BE1" i="8"/>
  <c r="BE2" i="8" s="1"/>
  <c r="BH24" i="12"/>
  <c r="BH23" i="12"/>
  <c r="BH22" i="12"/>
  <c r="BH21" i="12"/>
  <c r="BH20" i="12"/>
  <c r="BH19" i="12"/>
  <c r="BH18" i="12"/>
  <c r="BH17" i="12"/>
  <c r="BH16" i="12"/>
  <c r="BH15" i="12"/>
  <c r="BH14" i="12"/>
  <c r="BH13" i="12"/>
  <c r="BH12" i="12"/>
  <c r="BH11" i="12"/>
  <c r="BH10" i="12"/>
  <c r="BH9" i="12"/>
  <c r="BE1" i="12"/>
  <c r="BE2" i="12" s="1"/>
  <c r="BE8" i="12" s="1"/>
  <c r="BF8" i="8" l="1"/>
  <c r="BF41" i="8"/>
  <c r="BF37" i="8"/>
  <c r="BF33" i="8"/>
  <c r="BF29" i="8"/>
  <c r="BF25" i="8"/>
  <c r="BF21" i="8"/>
  <c r="BF17" i="8"/>
  <c r="BF13" i="8"/>
  <c r="BF9" i="8"/>
  <c r="BF40" i="8"/>
  <c r="BF36" i="8"/>
  <c r="BF32" i="8"/>
  <c r="BF28" i="8"/>
  <c r="BF24" i="8"/>
  <c r="BF20" i="8"/>
  <c r="BF16" i="8"/>
  <c r="BF12" i="8"/>
  <c r="BF39" i="8"/>
  <c r="BF35" i="8"/>
  <c r="BF31" i="8"/>
  <c r="BF27" i="8"/>
  <c r="BF23" i="8"/>
  <c r="BF19" i="8"/>
  <c r="BF15" i="8"/>
  <c r="BF11" i="8"/>
  <c r="BF38" i="8"/>
  <c r="BF34" i="8"/>
  <c r="BF30" i="8"/>
  <c r="BF26" i="8"/>
  <c r="BF22" i="8"/>
  <c r="BF18" i="8"/>
  <c r="BF14" i="8"/>
  <c r="BF10" i="8"/>
  <c r="BE3" i="8"/>
  <c r="BG8" i="12"/>
  <c r="BH10" i="17"/>
  <c r="BH16" i="17"/>
  <c r="BE8" i="14"/>
  <c r="BE9" i="14"/>
  <c r="BE11" i="14"/>
  <c r="BE15" i="14"/>
  <c r="BE17" i="14"/>
  <c r="BE19" i="14"/>
  <c r="BE21" i="14"/>
  <c r="BE23" i="14"/>
  <c r="BE25" i="14"/>
  <c r="BE27" i="14"/>
  <c r="BE29" i="14"/>
  <c r="BE31" i="14"/>
  <c r="BE10" i="14"/>
  <c r="BE12" i="14"/>
  <c r="BE14" i="14"/>
  <c r="BE16" i="14"/>
  <c r="BE18" i="14"/>
  <c r="BE20" i="14"/>
  <c r="BE22" i="14"/>
  <c r="BE24" i="14"/>
  <c r="BE26" i="14"/>
  <c r="BE28" i="14"/>
  <c r="BE30" i="14"/>
  <c r="BF8" i="13"/>
  <c r="BF9" i="13"/>
  <c r="BF11" i="13"/>
  <c r="BH13" i="13"/>
  <c r="BF15" i="13"/>
  <c r="BF17" i="13"/>
  <c r="BF19" i="13"/>
  <c r="BF21" i="13"/>
  <c r="BF23" i="13"/>
  <c r="BF25" i="13"/>
  <c r="BF27" i="13"/>
  <c r="BF29" i="13"/>
  <c r="BF31" i="13"/>
  <c r="BF33" i="13"/>
  <c r="BF10" i="13"/>
  <c r="BF12" i="13"/>
  <c r="BF14" i="13"/>
  <c r="BF16" i="13"/>
  <c r="BF18" i="13"/>
  <c r="BF20" i="13"/>
  <c r="BF22" i="13"/>
  <c r="BF24" i="13"/>
  <c r="BF26" i="13"/>
  <c r="BF28" i="13"/>
  <c r="BF30" i="13"/>
  <c r="BF32" i="13"/>
  <c r="BF34" i="13"/>
  <c r="BH15" i="17"/>
  <c r="U6" i="12"/>
  <c r="AW6" i="12"/>
  <c r="AS6" i="12"/>
  <c r="AO6" i="12"/>
  <c r="AK6" i="12"/>
  <c r="AG6" i="12"/>
  <c r="AC6" i="12"/>
  <c r="Y6" i="12"/>
  <c r="AU6" i="12"/>
  <c r="AQ6" i="12"/>
  <c r="AM6" i="12"/>
  <c r="AE6" i="12"/>
  <c r="W6" i="12"/>
  <c r="AT6" i="12"/>
  <c r="AL6" i="12"/>
  <c r="AD6" i="12"/>
  <c r="V6" i="12"/>
  <c r="AV6" i="12"/>
  <c r="AR6" i="12"/>
  <c r="AN6" i="12"/>
  <c r="AJ6" i="12"/>
  <c r="AF6" i="12"/>
  <c r="AB6" i="12"/>
  <c r="X6" i="12"/>
  <c r="AY6" i="12"/>
  <c r="AI6" i="12"/>
  <c r="AA6" i="12"/>
  <c r="AX6" i="12"/>
  <c r="AP6" i="12"/>
  <c r="AH6" i="12"/>
  <c r="Z6" i="12"/>
  <c r="BE23" i="12"/>
  <c r="BE19" i="12"/>
  <c r="BE15" i="12"/>
  <c r="BE11" i="12"/>
  <c r="BE21" i="12"/>
  <c r="BE13" i="12"/>
  <c r="BE20" i="12"/>
  <c r="BE12" i="12"/>
  <c r="BE22" i="12"/>
  <c r="BE18" i="12"/>
  <c r="BE14" i="12"/>
  <c r="BE10" i="12"/>
  <c r="BE25" i="12"/>
  <c r="BE17" i="12"/>
  <c r="BE9" i="12"/>
  <c r="BE24" i="12"/>
  <c r="BE16" i="12"/>
  <c r="BK5" i="12"/>
  <c r="AZ6" i="8"/>
  <c r="AS6" i="8"/>
  <c r="AO6" i="8"/>
  <c r="AC6" i="8"/>
  <c r="Y6" i="8"/>
  <c r="AN6" i="8"/>
  <c r="AJ6" i="8"/>
  <c r="AY6" i="8"/>
  <c r="AU6" i="8"/>
  <c r="AI6" i="8"/>
  <c r="AE6" i="8"/>
  <c r="AX6" i="8"/>
  <c r="AT6" i="8"/>
  <c r="AL6" i="8"/>
  <c r="AH6" i="8"/>
  <c r="AD6" i="8"/>
  <c r="V6" i="8"/>
  <c r="U6" i="14"/>
  <c r="AX6" i="14"/>
  <c r="AT6" i="14"/>
  <c r="AP6" i="14"/>
  <c r="AL6" i="14"/>
  <c r="AH6" i="14"/>
  <c r="AD6" i="14"/>
  <c r="Z6" i="14"/>
  <c r="V6" i="14"/>
  <c r="AU6" i="14"/>
  <c r="AE6" i="14"/>
  <c r="AW6" i="14"/>
  <c r="AS6" i="14"/>
  <c r="AO6" i="14"/>
  <c r="AK6" i="14"/>
  <c r="AG6" i="14"/>
  <c r="AC6" i="14"/>
  <c r="Y6" i="14"/>
  <c r="AV6" i="14"/>
  <c r="AR6" i="14"/>
  <c r="AN6" i="14"/>
  <c r="AJ6" i="14"/>
  <c r="AF6" i="14"/>
  <c r="AB6" i="14"/>
  <c r="X6" i="14"/>
  <c r="AY6" i="14"/>
  <c r="AQ6" i="14"/>
  <c r="AM6" i="14"/>
  <c r="AI6" i="14"/>
  <c r="AA6" i="14"/>
  <c r="W6" i="14"/>
  <c r="V6" i="13"/>
  <c r="AX6" i="13"/>
  <c r="AT6" i="13"/>
  <c r="AP6" i="13"/>
  <c r="AL6" i="13"/>
  <c r="AH6" i="13"/>
  <c r="AD6" i="13"/>
  <c r="Z6" i="13"/>
  <c r="AW6" i="13"/>
  <c r="AS6" i="13"/>
  <c r="AO6" i="13"/>
  <c r="AK6" i="13"/>
  <c r="AG6" i="13"/>
  <c r="AC6" i="13"/>
  <c r="Y6" i="13"/>
  <c r="AZ6" i="13"/>
  <c r="AV6" i="13"/>
  <c r="AR6" i="13"/>
  <c r="AN6" i="13"/>
  <c r="AJ6" i="13"/>
  <c r="AF6" i="13"/>
  <c r="AB6" i="13"/>
  <c r="X6" i="13"/>
  <c r="AY6" i="13"/>
  <c r="AU6" i="13"/>
  <c r="AQ6" i="13"/>
  <c r="AM6" i="13"/>
  <c r="AI6" i="13"/>
  <c r="AE6" i="13"/>
  <c r="AA6" i="13"/>
  <c r="W6" i="13"/>
  <c r="AZ6" i="17"/>
  <c r="AV6" i="17"/>
  <c r="AR6" i="17"/>
  <c r="AN6" i="17"/>
  <c r="AJ6" i="17"/>
  <c r="AF6" i="17"/>
  <c r="AB6" i="17"/>
  <c r="BB6" i="17"/>
  <c r="AP6" i="17"/>
  <c r="AH6" i="17"/>
  <c r="Z6" i="17"/>
  <c r="BA6" i="17"/>
  <c r="AS6" i="17"/>
  <c r="AK6" i="17"/>
  <c r="AG6" i="17"/>
  <c r="AY6" i="17"/>
  <c r="AU6" i="17"/>
  <c r="AQ6" i="17"/>
  <c r="AM6" i="17"/>
  <c r="AI6" i="17"/>
  <c r="AE6" i="17"/>
  <c r="AA6" i="17"/>
  <c r="AX6" i="17"/>
  <c r="AT6" i="17"/>
  <c r="AL6" i="17"/>
  <c r="AD6" i="17"/>
  <c r="AW6" i="17"/>
  <c r="AO6" i="17"/>
  <c r="AC6" i="17"/>
  <c r="Y6" i="17"/>
  <c r="X6" i="17"/>
  <c r="BL5" i="13"/>
  <c r="BH8" i="17"/>
  <c r="BH9" i="17"/>
  <c r="BH11" i="17"/>
  <c r="BH19" i="17"/>
  <c r="BH23" i="17"/>
  <c r="BH27" i="17"/>
  <c r="BH31" i="17"/>
  <c r="BI31" i="17" s="1"/>
  <c r="BH12" i="17"/>
  <c r="BH20" i="17"/>
  <c r="BH24" i="17"/>
  <c r="BH28" i="17"/>
  <c r="BH32" i="17"/>
  <c r="BH18" i="17"/>
  <c r="BH26" i="17"/>
  <c r="BH34" i="17"/>
  <c r="BH13" i="17"/>
  <c r="BH17" i="17"/>
  <c r="BH21" i="17"/>
  <c r="BH25" i="17"/>
  <c r="BH29" i="17"/>
  <c r="BH33" i="17"/>
  <c r="BH14" i="17"/>
  <c r="BI14" i="17" s="1"/>
  <c r="BH22" i="17"/>
  <c r="BH30" i="17"/>
  <c r="BO5" i="17"/>
  <c r="BG3" i="17"/>
  <c r="BE3" i="13"/>
  <c r="BJ13" i="13" s="1"/>
  <c r="BK5" i="14"/>
  <c r="BD3" i="14"/>
  <c r="BI13" i="14" s="1"/>
  <c r="BL5" i="8"/>
  <c r="BE3" i="12"/>
  <c r="BI8" i="12" s="1"/>
  <c r="BH24" i="1"/>
  <c r="BF24" i="1"/>
  <c r="BC24" i="1"/>
  <c r="BH23" i="1"/>
  <c r="BF23" i="1"/>
  <c r="BC23" i="1"/>
  <c r="BH22" i="1"/>
  <c r="BF22" i="1"/>
  <c r="BC22" i="1"/>
  <c r="BH21" i="1"/>
  <c r="BF21" i="1"/>
  <c r="BC21" i="1"/>
  <c r="BH20" i="1"/>
  <c r="BF20" i="1"/>
  <c r="BC20" i="1"/>
  <c r="BH19" i="1"/>
  <c r="BF19" i="1"/>
  <c r="BC19" i="1"/>
  <c r="BH18" i="1"/>
  <c r="BF18" i="1"/>
  <c r="BC18" i="1"/>
  <c r="BH17" i="1"/>
  <c r="BF17" i="1"/>
  <c r="BC17" i="1"/>
  <c r="BH16" i="1"/>
  <c r="BF16" i="1"/>
  <c r="BC16" i="1"/>
  <c r="BH15" i="1"/>
  <c r="BF15" i="1"/>
  <c r="BH14" i="1"/>
  <c r="BF14" i="1"/>
  <c r="BC14" i="1"/>
  <c r="BH13" i="1"/>
  <c r="BF13" i="1"/>
  <c r="BC13" i="1"/>
  <c r="BH12" i="1"/>
  <c r="BF12" i="1"/>
  <c r="BC12" i="1"/>
  <c r="BH11" i="1"/>
  <c r="BF11" i="1"/>
  <c r="BC11" i="1"/>
  <c r="BH10" i="1"/>
  <c r="BF10" i="1"/>
  <c r="BC10" i="1"/>
  <c r="BH9" i="1"/>
  <c r="BC9" i="1"/>
  <c r="BH8" i="1"/>
  <c r="BF8" i="1"/>
  <c r="BC1" i="1"/>
  <c r="BC2" i="1" s="1"/>
  <c r="BD8" i="1" s="1"/>
  <c r="BN32" i="13" l="1"/>
  <c r="BN24" i="13"/>
  <c r="BN16" i="13"/>
  <c r="BN33" i="13"/>
  <c r="BN25" i="13"/>
  <c r="BN17" i="13"/>
  <c r="BN30" i="13"/>
  <c r="BN22" i="13"/>
  <c r="BN14" i="13"/>
  <c r="BN31" i="13"/>
  <c r="BN23" i="13"/>
  <c r="BN15" i="13"/>
  <c r="BN28" i="13"/>
  <c r="BN20" i="13"/>
  <c r="BN12" i="13"/>
  <c r="BN29" i="13"/>
  <c r="BN21" i="13"/>
  <c r="BH9" i="13"/>
  <c r="BN9" i="13"/>
  <c r="BN34" i="13"/>
  <c r="BN26" i="13"/>
  <c r="BN18" i="13"/>
  <c r="BN10" i="13"/>
  <c r="BN27" i="13"/>
  <c r="BN19" i="13"/>
  <c r="BN11" i="13"/>
  <c r="BN13" i="13"/>
  <c r="BN8" i="13"/>
  <c r="BH8" i="13"/>
  <c r="BM26" i="14"/>
  <c r="BM18" i="14"/>
  <c r="BM10" i="14"/>
  <c r="BM25" i="14"/>
  <c r="BM17" i="14"/>
  <c r="BM24" i="14"/>
  <c r="BM16" i="14"/>
  <c r="BM31" i="14"/>
  <c r="BM23" i="14"/>
  <c r="BM15" i="14"/>
  <c r="BM30" i="14"/>
  <c r="BM22" i="14"/>
  <c r="BM14" i="14"/>
  <c r="BM29" i="14"/>
  <c r="BM21" i="14"/>
  <c r="BM11" i="14"/>
  <c r="BM28" i="14"/>
  <c r="BM20" i="14"/>
  <c r="BM12" i="14"/>
  <c r="BM27" i="14"/>
  <c r="BM19" i="14"/>
  <c r="BM9" i="14"/>
  <c r="BM13" i="14"/>
  <c r="BM8" i="14"/>
  <c r="BN14" i="8"/>
  <c r="BN30" i="8"/>
  <c r="BN15" i="8"/>
  <c r="BN31" i="8"/>
  <c r="BN16" i="8"/>
  <c r="BN32" i="8"/>
  <c r="BN13" i="8"/>
  <c r="BN29" i="8"/>
  <c r="BQ8" i="17"/>
  <c r="BN18" i="8"/>
  <c r="BN34" i="8"/>
  <c r="BN19" i="8"/>
  <c r="BN35" i="8"/>
  <c r="BN20" i="8"/>
  <c r="BN36" i="8"/>
  <c r="BN17" i="8"/>
  <c r="BN33" i="8"/>
  <c r="BN22" i="8"/>
  <c r="BN38" i="8"/>
  <c r="BN23" i="8"/>
  <c r="BN39" i="8"/>
  <c r="BN24" i="8"/>
  <c r="BN40" i="8"/>
  <c r="BN21" i="8"/>
  <c r="BN37" i="8"/>
  <c r="BN10" i="8"/>
  <c r="BN26" i="8"/>
  <c r="BN11" i="8"/>
  <c r="BN27" i="8"/>
  <c r="BN12" i="8"/>
  <c r="BN28" i="8"/>
  <c r="BN9" i="8"/>
  <c r="BN25" i="8"/>
  <c r="BN41" i="8"/>
  <c r="BN8" i="8"/>
  <c r="W6" i="8"/>
  <c r="AM6" i="8"/>
  <c r="X6" i="8"/>
  <c r="AR6" i="8"/>
  <c r="AG6" i="8"/>
  <c r="AW6" i="8"/>
  <c r="Z6" i="8"/>
  <c r="AP6" i="8"/>
  <c r="AA6" i="8"/>
  <c r="AQ6" i="8"/>
  <c r="AB6" i="8"/>
  <c r="AV6" i="8"/>
  <c r="AK6" i="8"/>
  <c r="AF6" i="8"/>
  <c r="BI14" i="12"/>
  <c r="BI15" i="12"/>
  <c r="BI17" i="12"/>
  <c r="BI18" i="12"/>
  <c r="BI13" i="12"/>
  <c r="BI19" i="12"/>
  <c r="BI9" i="12"/>
  <c r="BI20" i="12"/>
  <c r="BI16" i="12"/>
  <c r="BI25" i="12"/>
  <c r="BI22" i="12"/>
  <c r="BI21" i="12"/>
  <c r="BI23" i="12"/>
  <c r="BI24" i="12"/>
  <c r="BI10" i="12"/>
  <c r="BI12" i="12"/>
  <c r="BI11" i="12"/>
  <c r="BM8" i="12"/>
  <c r="BJ32" i="13"/>
  <c r="BJ24" i="13"/>
  <c r="BJ16" i="13"/>
  <c r="BJ33" i="13"/>
  <c r="BJ25" i="13"/>
  <c r="BJ17" i="13"/>
  <c r="BM31" i="17"/>
  <c r="BM14" i="17"/>
  <c r="BJ28" i="13"/>
  <c r="BJ20" i="13"/>
  <c r="BJ12" i="13"/>
  <c r="BJ29" i="13"/>
  <c r="BJ21" i="13"/>
  <c r="BJ34" i="13"/>
  <c r="BJ26" i="13"/>
  <c r="BJ18" i="13"/>
  <c r="BJ27" i="13"/>
  <c r="BJ19" i="13"/>
  <c r="BJ11" i="13"/>
  <c r="BJ30" i="13"/>
  <c r="BJ22" i="13"/>
  <c r="BJ14" i="13"/>
  <c r="BJ31" i="13"/>
  <c r="BJ23" i="13"/>
  <c r="BJ15" i="13"/>
  <c r="BH14" i="13"/>
  <c r="BH15" i="13"/>
  <c r="BH28" i="13"/>
  <c r="BH20" i="13"/>
  <c r="BH29" i="13"/>
  <c r="BH21" i="13"/>
  <c r="BH30" i="13"/>
  <c r="BH31" i="13"/>
  <c r="BH23" i="13"/>
  <c r="BH34" i="13"/>
  <c r="BH26" i="13"/>
  <c r="BH18" i="13"/>
  <c r="BH27" i="13"/>
  <c r="BH19" i="13"/>
  <c r="BH11" i="13"/>
  <c r="BH22" i="13"/>
  <c r="BH32" i="13"/>
  <c r="BH24" i="13"/>
  <c r="BH16" i="13"/>
  <c r="BH33" i="13"/>
  <c r="BH25" i="13"/>
  <c r="BH17" i="13"/>
  <c r="BH10" i="13"/>
  <c r="BJ10" i="13"/>
  <c r="BG24" i="14"/>
  <c r="BI24" i="14"/>
  <c r="BG16" i="14"/>
  <c r="BI16" i="14"/>
  <c r="BG31" i="14"/>
  <c r="BI31" i="14"/>
  <c r="BG23" i="14"/>
  <c r="BI23" i="14"/>
  <c r="BG15" i="14"/>
  <c r="BI15" i="14"/>
  <c r="BG30" i="14"/>
  <c r="BI30" i="14"/>
  <c r="BG22" i="14"/>
  <c r="BI22" i="14"/>
  <c r="BG14" i="14"/>
  <c r="BI14" i="14"/>
  <c r="BG29" i="14"/>
  <c r="BI29" i="14"/>
  <c r="BG21" i="14"/>
  <c r="BI21" i="14"/>
  <c r="BG11" i="14"/>
  <c r="BI11" i="14"/>
  <c r="BG28" i="14"/>
  <c r="BI28" i="14"/>
  <c r="BG20" i="14"/>
  <c r="BI20" i="14"/>
  <c r="BG12" i="14"/>
  <c r="BI12" i="14"/>
  <c r="BG27" i="14"/>
  <c r="BI27" i="14"/>
  <c r="BG19" i="14"/>
  <c r="BI19" i="14"/>
  <c r="BG9" i="14"/>
  <c r="BI9" i="14"/>
  <c r="BG26" i="14"/>
  <c r="BI26" i="14"/>
  <c r="BG18" i="14"/>
  <c r="BI18" i="14"/>
  <c r="BG10" i="14"/>
  <c r="BI10" i="14"/>
  <c r="BG25" i="14"/>
  <c r="BI25" i="14"/>
  <c r="BG17" i="14"/>
  <c r="BI17" i="14"/>
  <c r="BG8" i="14"/>
  <c r="BI8" i="14"/>
  <c r="BG25" i="12"/>
  <c r="BG20" i="12"/>
  <c r="BM20" i="12"/>
  <c r="BG17" i="12"/>
  <c r="BM17" i="12"/>
  <c r="BG18" i="12"/>
  <c r="BM18" i="12"/>
  <c r="BG19" i="12"/>
  <c r="BM19" i="12"/>
  <c r="BG16" i="12"/>
  <c r="BM16" i="12"/>
  <c r="BG22" i="12"/>
  <c r="BM22" i="12"/>
  <c r="BG21" i="12"/>
  <c r="BM21" i="12"/>
  <c r="BG23" i="12"/>
  <c r="BM23" i="12"/>
  <c r="BG14" i="12"/>
  <c r="BM14" i="12"/>
  <c r="BG15" i="12"/>
  <c r="BM15" i="12"/>
  <c r="BG24" i="12"/>
  <c r="BM24" i="12"/>
  <c r="BG9" i="12"/>
  <c r="BM9" i="12"/>
  <c r="BG13" i="12"/>
  <c r="BM13" i="12"/>
  <c r="BG10" i="12"/>
  <c r="BM10" i="12"/>
  <c r="BG12" i="12"/>
  <c r="BM12" i="12"/>
  <c r="BG11" i="12"/>
  <c r="BM11" i="12"/>
  <c r="BQ10" i="17"/>
  <c r="BK16" i="14"/>
  <c r="BK14" i="14"/>
  <c r="BO10" i="17"/>
  <c r="BL11" i="13"/>
  <c r="BL13" i="13"/>
  <c r="BH12" i="13"/>
  <c r="BQ22" i="17"/>
  <c r="BQ25" i="17"/>
  <c r="BQ34" i="17"/>
  <c r="BQ28" i="17"/>
  <c r="BQ31" i="17"/>
  <c r="BQ11" i="17"/>
  <c r="BQ14" i="17"/>
  <c r="BQ17" i="17"/>
  <c r="BQ18" i="17"/>
  <c r="BQ20" i="17"/>
  <c r="BQ13" i="17"/>
  <c r="BQ12" i="17"/>
  <c r="BQ9" i="17"/>
  <c r="BQ15" i="17"/>
  <c r="BQ33" i="17"/>
  <c r="BQ23" i="17"/>
  <c r="BQ30" i="17"/>
  <c r="BQ29" i="17"/>
  <c r="BQ32" i="17"/>
  <c r="BQ19" i="17"/>
  <c r="BQ21" i="17"/>
  <c r="BQ26" i="17"/>
  <c r="BQ24" i="17"/>
  <c r="BQ27" i="17"/>
  <c r="BI16" i="17"/>
  <c r="BM16" i="17" s="1"/>
  <c r="BQ16" i="17"/>
  <c r="BG13" i="14"/>
  <c r="BJ9" i="13"/>
  <c r="BD14" i="1"/>
  <c r="BJ13" i="8"/>
  <c r="BL8" i="13"/>
  <c r="BJ8" i="13"/>
  <c r="BA17" i="12"/>
  <c r="BC8" i="17"/>
  <c r="BD8" i="17"/>
  <c r="BB33" i="13"/>
  <c r="BB31" i="13"/>
  <c r="BB29" i="13"/>
  <c r="BB27" i="13"/>
  <c r="BB25" i="13"/>
  <c r="BB23" i="13"/>
  <c r="BB21" i="13"/>
  <c r="BB19" i="13"/>
  <c r="BB17" i="13"/>
  <c r="BB15" i="13"/>
  <c r="BB13" i="13"/>
  <c r="BB11" i="13"/>
  <c r="BB9" i="13"/>
  <c r="BB32" i="13"/>
  <c r="BB28" i="13"/>
  <c r="BB24" i="13"/>
  <c r="BB20" i="13"/>
  <c r="BB16" i="13"/>
  <c r="BB12" i="13"/>
  <c r="BA34" i="13"/>
  <c r="BA30" i="13"/>
  <c r="BA26" i="13"/>
  <c r="BA22" i="13"/>
  <c r="BA18" i="13"/>
  <c r="BA14" i="13"/>
  <c r="BA10" i="13"/>
  <c r="BA33" i="13"/>
  <c r="BA31" i="13"/>
  <c r="BA29" i="13"/>
  <c r="BA27" i="13"/>
  <c r="BA25" i="13"/>
  <c r="BA23" i="13"/>
  <c r="BA21" i="13"/>
  <c r="BA19" i="13"/>
  <c r="BA17" i="13"/>
  <c r="BA15" i="13"/>
  <c r="BA13" i="13"/>
  <c r="BA11" i="13"/>
  <c r="BA9" i="13"/>
  <c r="BB34" i="13"/>
  <c r="BB30" i="13"/>
  <c r="BB26" i="13"/>
  <c r="BB22" i="13"/>
  <c r="BB18" i="13"/>
  <c r="BB14" i="13"/>
  <c r="BB10" i="13"/>
  <c r="BA32" i="13"/>
  <c r="BA28" i="13"/>
  <c r="BA24" i="13"/>
  <c r="I24" i="13" s="1"/>
  <c r="J24" i="13" s="1"/>
  <c r="BA20" i="13"/>
  <c r="BA16" i="13"/>
  <c r="BA12" i="13"/>
  <c r="BB8" i="13"/>
  <c r="BA8" i="13"/>
  <c r="BA31" i="14"/>
  <c r="BA29" i="14"/>
  <c r="BA27" i="14"/>
  <c r="BA25" i="14"/>
  <c r="BA23" i="14"/>
  <c r="BA21" i="14"/>
  <c r="BA19" i="14"/>
  <c r="BA17" i="14"/>
  <c r="BA15" i="14"/>
  <c r="BA13" i="14"/>
  <c r="BA11" i="14"/>
  <c r="AZ31" i="14"/>
  <c r="AZ29" i="14"/>
  <c r="AZ27" i="14"/>
  <c r="AZ25" i="14"/>
  <c r="AZ23" i="14"/>
  <c r="AZ21" i="14"/>
  <c r="AZ19" i="14"/>
  <c r="AZ17" i="14"/>
  <c r="AZ15" i="14"/>
  <c r="AZ13" i="14"/>
  <c r="AZ11" i="14"/>
  <c r="AZ9" i="14"/>
  <c r="BA30" i="14"/>
  <c r="BA28" i="14"/>
  <c r="BA26" i="14"/>
  <c r="BA24" i="14"/>
  <c r="BA22" i="14"/>
  <c r="BA20" i="14"/>
  <c r="BA18" i="14"/>
  <c r="BA16" i="14"/>
  <c r="BA14" i="14"/>
  <c r="BA12" i="14"/>
  <c r="BA10" i="14"/>
  <c r="BA9" i="14"/>
  <c r="AZ30" i="14"/>
  <c r="H30" i="14" s="1"/>
  <c r="AZ28" i="14"/>
  <c r="H28" i="14" s="1"/>
  <c r="AZ26" i="14"/>
  <c r="H26" i="14" s="1"/>
  <c r="AZ24" i="14"/>
  <c r="H24" i="14" s="1"/>
  <c r="AZ22" i="14"/>
  <c r="H22" i="14" s="1"/>
  <c r="AZ20" i="14"/>
  <c r="H20" i="14" s="1"/>
  <c r="AZ18" i="14"/>
  <c r="H18" i="14" s="1"/>
  <c r="AZ16" i="14"/>
  <c r="H16" i="14" s="1"/>
  <c r="AZ14" i="14"/>
  <c r="H14" i="14" s="1"/>
  <c r="AZ12" i="14"/>
  <c r="H12" i="14" s="1"/>
  <c r="AZ10" i="14"/>
  <c r="H10" i="14" s="1"/>
  <c r="BA8" i="14"/>
  <c r="AZ8" i="14"/>
  <c r="AZ23" i="12"/>
  <c r="AZ21" i="12"/>
  <c r="AZ19" i="12"/>
  <c r="AZ17" i="12"/>
  <c r="J17" i="12" s="1"/>
  <c r="AZ15" i="12"/>
  <c r="AZ13" i="12"/>
  <c r="AZ11" i="12"/>
  <c r="AZ8" i="12"/>
  <c r="AZ22" i="12"/>
  <c r="AZ18" i="12"/>
  <c r="AZ14" i="12"/>
  <c r="AZ9" i="12"/>
  <c r="BA21" i="12"/>
  <c r="BA13" i="12"/>
  <c r="BA8" i="12"/>
  <c r="BA24" i="12"/>
  <c r="BA22" i="12"/>
  <c r="BA20" i="12"/>
  <c r="BA18" i="12"/>
  <c r="BA16" i="12"/>
  <c r="BA14" i="12"/>
  <c r="BA12" i="12"/>
  <c r="BA9" i="12"/>
  <c r="AZ24" i="12"/>
  <c r="J24" i="12" s="1"/>
  <c r="AZ20" i="12"/>
  <c r="AZ16" i="12"/>
  <c r="AZ12" i="12"/>
  <c r="BA23" i="12"/>
  <c r="BA19" i="12"/>
  <c r="BA15" i="12"/>
  <c r="BA11" i="12"/>
  <c r="BA10" i="12"/>
  <c r="AZ10" i="12"/>
  <c r="AC6" i="1"/>
  <c r="AV6" i="1"/>
  <c r="AR6" i="1"/>
  <c r="AN6" i="1"/>
  <c r="AJ6" i="1"/>
  <c r="AF6" i="1"/>
  <c r="AB6" i="1"/>
  <c r="X6" i="1"/>
  <c r="T6" i="1"/>
  <c r="AQ6" i="1"/>
  <c r="AM6" i="1"/>
  <c r="AI6" i="1"/>
  <c r="AE6" i="1"/>
  <c r="AA6" i="1"/>
  <c r="W6" i="1"/>
  <c r="AT6" i="1"/>
  <c r="AP6" i="1"/>
  <c r="AL6" i="1"/>
  <c r="AH6" i="1"/>
  <c r="AD6" i="1"/>
  <c r="Z6" i="1"/>
  <c r="V6" i="1"/>
  <c r="AW6" i="1"/>
  <c r="AO6" i="1"/>
  <c r="AK6" i="1"/>
  <c r="AG6" i="1"/>
  <c r="Y6" i="1"/>
  <c r="AU6" i="1"/>
  <c r="AS6" i="1"/>
  <c r="U6" i="1"/>
  <c r="BL5" i="1"/>
  <c r="S6" i="1"/>
  <c r="BK20" i="12"/>
  <c r="BK14" i="12"/>
  <c r="BK15" i="12"/>
  <c r="BK12" i="12"/>
  <c r="BK16" i="12"/>
  <c r="BK21" i="12"/>
  <c r="BK9" i="12"/>
  <c r="BK19" i="12"/>
  <c r="BK22" i="12"/>
  <c r="BK10" i="12"/>
  <c r="BK13" i="12"/>
  <c r="BK11" i="12"/>
  <c r="BK17" i="12"/>
  <c r="BK23" i="12"/>
  <c r="BK8" i="12"/>
  <c r="BL8" i="12" s="1"/>
  <c r="BK24" i="12"/>
  <c r="BK18" i="12"/>
  <c r="BK19" i="14"/>
  <c r="BK10" i="14"/>
  <c r="BK23" i="14"/>
  <c r="BK8" i="14"/>
  <c r="BK24" i="14"/>
  <c r="BK28" i="14"/>
  <c r="BK12" i="14"/>
  <c r="BK21" i="14"/>
  <c r="BK9" i="14"/>
  <c r="BK18" i="14"/>
  <c r="BK27" i="14"/>
  <c r="BK11" i="14"/>
  <c r="BK29" i="14"/>
  <c r="BK13" i="14"/>
  <c r="BK17" i="14"/>
  <c r="BK22" i="14"/>
  <c r="BK30" i="14"/>
  <c r="BK26" i="14"/>
  <c r="BK20" i="14"/>
  <c r="BK31" i="14"/>
  <c r="BK15" i="14"/>
  <c r="BK25" i="14"/>
  <c r="BL24" i="13"/>
  <c r="BL27" i="13"/>
  <c r="BL29" i="13"/>
  <c r="BL10" i="13"/>
  <c r="BL26" i="13"/>
  <c r="BL25" i="13"/>
  <c r="BL12" i="13"/>
  <c r="BL28" i="13"/>
  <c r="BL32" i="13"/>
  <c r="BL15" i="13"/>
  <c r="BL19" i="13"/>
  <c r="BL33" i="13"/>
  <c r="BL23" i="13"/>
  <c r="BL18" i="13"/>
  <c r="BL30" i="13"/>
  <c r="BL31" i="13"/>
  <c r="BL14" i="13"/>
  <c r="BL34" i="13"/>
  <c r="BL16" i="13"/>
  <c r="BL17" i="13"/>
  <c r="BL9" i="13"/>
  <c r="BL22" i="13"/>
  <c r="BL21" i="13"/>
  <c r="BL20" i="13"/>
  <c r="BD32" i="17"/>
  <c r="BD28" i="17"/>
  <c r="BD24" i="17"/>
  <c r="BD20" i="17"/>
  <c r="BD16" i="17"/>
  <c r="BD12" i="17"/>
  <c r="BC11" i="17"/>
  <c r="BC15" i="17"/>
  <c r="BC19" i="17"/>
  <c r="BC23" i="17"/>
  <c r="BC27" i="17"/>
  <c r="BC31" i="17"/>
  <c r="BD31" i="17"/>
  <c r="BD27" i="17"/>
  <c r="BD19" i="17"/>
  <c r="BD11" i="17"/>
  <c r="BC12" i="17"/>
  <c r="BC20" i="17"/>
  <c r="BC28" i="17"/>
  <c r="BD34" i="17"/>
  <c r="BD30" i="17"/>
  <c r="BD26" i="17"/>
  <c r="BD22" i="17"/>
  <c r="BD18" i="17"/>
  <c r="BD14" i="17"/>
  <c r="BD10" i="17"/>
  <c r="BC9" i="17"/>
  <c r="BC13" i="17"/>
  <c r="BC17" i="17"/>
  <c r="BC21" i="17"/>
  <c r="BC25" i="17"/>
  <c r="BC29" i="17"/>
  <c r="BC33" i="17"/>
  <c r="BO8" i="17"/>
  <c r="BD33" i="17"/>
  <c r="BD29" i="17"/>
  <c r="BD25" i="17"/>
  <c r="BD21" i="17"/>
  <c r="BD17" i="17"/>
  <c r="BD13" i="17"/>
  <c r="BD9" i="17"/>
  <c r="BC10" i="17"/>
  <c r="BC14" i="17"/>
  <c r="BC18" i="17"/>
  <c r="K18" i="17" s="1"/>
  <c r="L18" i="17" s="1"/>
  <c r="BC22" i="17"/>
  <c r="BC26" i="17"/>
  <c r="K26" i="17" s="1"/>
  <c r="L26" i="17" s="1"/>
  <c r="BC30" i="17"/>
  <c r="BD23" i="17"/>
  <c r="BD15" i="17"/>
  <c r="BC34" i="17"/>
  <c r="BC16" i="17"/>
  <c r="BC24" i="17"/>
  <c r="BC32" i="17"/>
  <c r="BO33" i="17"/>
  <c r="BO31" i="17"/>
  <c r="BO29" i="17"/>
  <c r="BO27" i="17"/>
  <c r="BO25" i="17"/>
  <c r="BO23" i="17"/>
  <c r="BO21" i="17"/>
  <c r="BO19" i="17"/>
  <c r="BO17" i="17"/>
  <c r="BO15" i="17"/>
  <c r="BO13" i="17"/>
  <c r="BO11" i="17"/>
  <c r="BO34" i="17"/>
  <c r="BO32" i="17"/>
  <c r="BO30" i="17"/>
  <c r="BO28" i="17"/>
  <c r="BO26" i="17"/>
  <c r="BO24" i="17"/>
  <c r="BO22" i="17"/>
  <c r="BO20" i="17"/>
  <c r="BO18" i="17"/>
  <c r="BO16" i="17"/>
  <c r="BO14" i="17"/>
  <c r="BO12" i="17"/>
  <c r="BO9" i="17"/>
  <c r="BI10" i="17"/>
  <c r="BM10" i="17" s="1"/>
  <c r="BI11" i="17"/>
  <c r="BM11" i="17" s="1"/>
  <c r="BI15" i="17"/>
  <c r="BM15" i="17" s="1"/>
  <c r="BI19" i="17"/>
  <c r="BM19" i="17" s="1"/>
  <c r="BI23" i="17"/>
  <c r="BM23" i="17" s="1"/>
  <c r="BI27" i="17"/>
  <c r="BM27" i="17" s="1"/>
  <c r="BI12" i="17"/>
  <c r="BM12" i="17" s="1"/>
  <c r="BI20" i="17"/>
  <c r="BM20" i="17" s="1"/>
  <c r="BI24" i="17"/>
  <c r="BM24" i="17" s="1"/>
  <c r="BI32" i="17"/>
  <c r="BM32" i="17" s="1"/>
  <c r="BI28" i="17"/>
  <c r="BM28" i="17" s="1"/>
  <c r="BI13" i="17"/>
  <c r="BM13" i="17" s="1"/>
  <c r="BI17" i="17"/>
  <c r="BM17" i="17" s="1"/>
  <c r="BI21" i="17"/>
  <c r="BM21" i="17" s="1"/>
  <c r="BI25" i="17"/>
  <c r="BM25" i="17" s="1"/>
  <c r="BI29" i="17"/>
  <c r="BM29" i="17" s="1"/>
  <c r="BI33" i="17"/>
  <c r="BM33" i="17" s="1"/>
  <c r="BI18" i="17"/>
  <c r="BM18" i="17" s="1"/>
  <c r="BI22" i="17"/>
  <c r="BM22" i="17" s="1"/>
  <c r="BI26" i="17"/>
  <c r="BM26" i="17" s="1"/>
  <c r="BI30" i="17"/>
  <c r="BM30" i="17" s="1"/>
  <c r="BI34" i="17"/>
  <c r="BM34" i="17" s="1"/>
  <c r="BI8" i="17"/>
  <c r="BM8" i="17" s="1"/>
  <c r="BI9" i="17"/>
  <c r="BM9" i="17" s="1"/>
  <c r="BD9" i="1"/>
  <c r="BD13" i="1"/>
  <c r="BD17" i="1"/>
  <c r="BD10" i="1"/>
  <c r="BD18" i="1"/>
  <c r="BD11" i="1"/>
  <c r="BD15" i="1"/>
  <c r="BD12" i="1"/>
  <c r="BD16" i="1"/>
  <c r="BD19" i="1"/>
  <c r="BC3" i="1"/>
  <c r="BI25" i="1" s="1"/>
  <c r="BD20" i="1"/>
  <c r="BD24" i="1"/>
  <c r="BD21" i="1"/>
  <c r="BD22" i="1"/>
  <c r="BD23" i="1"/>
  <c r="K8" i="17" l="1"/>
  <c r="I15" i="13"/>
  <c r="J15" i="13" s="1"/>
  <c r="I23" i="13"/>
  <c r="J23" i="13" s="1"/>
  <c r="I31" i="13"/>
  <c r="J31" i="13" s="1"/>
  <c r="I16" i="13"/>
  <c r="J16" i="13" s="1"/>
  <c r="I32" i="13"/>
  <c r="J32" i="13" s="1"/>
  <c r="I9" i="13"/>
  <c r="J9" i="13" s="1"/>
  <c r="I17" i="13"/>
  <c r="J17" i="13" s="1"/>
  <c r="I25" i="13"/>
  <c r="J25" i="13" s="1"/>
  <c r="I33" i="13"/>
  <c r="J33" i="13" s="1"/>
  <c r="I20" i="13"/>
  <c r="J20" i="13" s="1"/>
  <c r="I8" i="13"/>
  <c r="J8" i="13" s="1"/>
  <c r="I11" i="13"/>
  <c r="J11" i="13" s="1"/>
  <c r="I19" i="13"/>
  <c r="J19" i="13" s="1"/>
  <c r="I27" i="13"/>
  <c r="J27" i="13" s="1"/>
  <c r="I10" i="13"/>
  <c r="J10" i="13" s="1"/>
  <c r="I26" i="13"/>
  <c r="J26" i="13" s="1"/>
  <c r="I13" i="13"/>
  <c r="J13" i="13" s="1"/>
  <c r="I21" i="13"/>
  <c r="J21" i="13" s="1"/>
  <c r="I29" i="13"/>
  <c r="J29" i="13" s="1"/>
  <c r="I14" i="13"/>
  <c r="J14" i="13" s="1"/>
  <c r="I30" i="13"/>
  <c r="J30" i="13" s="1"/>
  <c r="I22" i="13"/>
  <c r="J22" i="13" s="1"/>
  <c r="I12" i="13"/>
  <c r="J12" i="13" s="1"/>
  <c r="I28" i="13"/>
  <c r="J28" i="13" s="1"/>
  <c r="I18" i="13"/>
  <c r="J18" i="13" s="1"/>
  <c r="I34" i="13"/>
  <c r="J34" i="13" s="1"/>
  <c r="BN8" i="1"/>
  <c r="H11" i="14"/>
  <c r="H19" i="14"/>
  <c r="H27" i="14"/>
  <c r="H13" i="14"/>
  <c r="H21" i="14"/>
  <c r="H29" i="14"/>
  <c r="H17" i="14"/>
  <c r="H25" i="14"/>
  <c r="H8" i="14"/>
  <c r="H15" i="14"/>
  <c r="H23" i="14"/>
  <c r="H31" i="14"/>
  <c r="H9" i="14"/>
  <c r="BA21" i="8"/>
  <c r="BB22" i="8"/>
  <c r="BB41" i="8"/>
  <c r="BL30" i="8"/>
  <c r="BB8" i="8"/>
  <c r="BL17" i="8"/>
  <c r="BB25" i="8"/>
  <c r="BB33" i="8"/>
  <c r="BL12" i="8"/>
  <c r="BL34" i="8"/>
  <c r="BA22" i="8"/>
  <c r="BB30" i="8"/>
  <c r="BA33" i="8"/>
  <c r="BL11" i="8"/>
  <c r="BL36" i="8"/>
  <c r="BA38" i="8"/>
  <c r="BB38" i="8"/>
  <c r="BA14" i="8"/>
  <c r="BL39" i="8"/>
  <c r="BL18" i="8"/>
  <c r="BB14" i="8"/>
  <c r="BA24" i="8"/>
  <c r="BA13" i="8"/>
  <c r="BL15" i="8"/>
  <c r="BL38" i="8"/>
  <c r="BL14" i="8"/>
  <c r="BL16" i="8"/>
  <c r="BL27" i="8"/>
  <c r="BL32" i="8"/>
  <c r="BL21" i="8"/>
  <c r="BL33" i="8"/>
  <c r="BA8" i="8"/>
  <c r="BA28" i="8"/>
  <c r="BA40" i="8"/>
  <c r="BB16" i="8"/>
  <c r="BB24" i="8"/>
  <c r="BB32" i="8"/>
  <c r="BB40" i="8"/>
  <c r="BA34" i="8"/>
  <c r="BA25" i="8"/>
  <c r="BA35" i="8"/>
  <c r="BA20" i="8"/>
  <c r="BB13" i="8"/>
  <c r="I13" i="8" s="1"/>
  <c r="BL19" i="8"/>
  <c r="BL37" i="8"/>
  <c r="BL40" i="8"/>
  <c r="BL20" i="8"/>
  <c r="BL26" i="8"/>
  <c r="BL9" i="8"/>
  <c r="BL41" i="8"/>
  <c r="BA10" i="8"/>
  <c r="BA30" i="8"/>
  <c r="BB10" i="8"/>
  <c r="BB18" i="8"/>
  <c r="BB26" i="8"/>
  <c r="BB34" i="8"/>
  <c r="BA12" i="8"/>
  <c r="BA15" i="8"/>
  <c r="BA27" i="8"/>
  <c r="BA37" i="8"/>
  <c r="BA32" i="8"/>
  <c r="BB17" i="8"/>
  <c r="BL22" i="8"/>
  <c r="BL23" i="8"/>
  <c r="BL31" i="8"/>
  <c r="BL8" i="8"/>
  <c r="BL24" i="8"/>
  <c r="BL25" i="8"/>
  <c r="BL13" i="8"/>
  <c r="BL35" i="8"/>
  <c r="BA16" i="8"/>
  <c r="BA36" i="8"/>
  <c r="BB12" i="8"/>
  <c r="BB20" i="8"/>
  <c r="BB28" i="8"/>
  <c r="BB36" i="8"/>
  <c r="BA18" i="8"/>
  <c r="I18" i="8" s="1"/>
  <c r="J18" i="8" s="1"/>
  <c r="BA19" i="8"/>
  <c r="BA29" i="8"/>
  <c r="BA41" i="8"/>
  <c r="I41" i="8" s="1"/>
  <c r="BA9" i="8"/>
  <c r="BB39" i="8"/>
  <c r="BA11" i="8"/>
  <c r="BA23" i="8"/>
  <c r="BA31" i="8"/>
  <c r="BA39" i="8"/>
  <c r="I39" i="8" s="1"/>
  <c r="BA26" i="8"/>
  <c r="I26" i="8" s="1"/>
  <c r="BB9" i="8"/>
  <c r="BB21" i="8"/>
  <c r="I21" i="8" s="1"/>
  <c r="BB11" i="8"/>
  <c r="BB19" i="8"/>
  <c r="BB27" i="8"/>
  <c r="BB35" i="8"/>
  <c r="BB29" i="8"/>
  <c r="BB37" i="8"/>
  <c r="BA17" i="8"/>
  <c r="BB15" i="8"/>
  <c r="BB23" i="8"/>
  <c r="BB31" i="8"/>
  <c r="BL28" i="8"/>
  <c r="BL29" i="8"/>
  <c r="BL10" i="8"/>
  <c r="J8" i="12"/>
  <c r="BL25" i="14"/>
  <c r="BL18" i="14"/>
  <c r="BL22" i="14"/>
  <c r="BL23" i="14"/>
  <c r="BL24" i="14"/>
  <c r="BH9" i="8"/>
  <c r="BJ9" i="8"/>
  <c r="BH28" i="8"/>
  <c r="BJ28" i="8"/>
  <c r="BH20" i="8"/>
  <c r="BJ20" i="8"/>
  <c r="BH35" i="8"/>
  <c r="BJ35" i="8"/>
  <c r="BH27" i="8"/>
  <c r="BJ27" i="8"/>
  <c r="BH11" i="8"/>
  <c r="BJ11" i="8"/>
  <c r="BH10" i="8"/>
  <c r="BJ10" i="8"/>
  <c r="BH34" i="8"/>
  <c r="BJ34" i="8"/>
  <c r="BH26" i="8"/>
  <c r="BJ26" i="8"/>
  <c r="BH18" i="8"/>
  <c r="BJ18" i="8"/>
  <c r="BH41" i="8"/>
  <c r="BJ41" i="8"/>
  <c r="BH33" i="8"/>
  <c r="BJ33" i="8"/>
  <c r="BH25" i="8"/>
  <c r="BJ25" i="8"/>
  <c r="BH17" i="8"/>
  <c r="BJ17" i="8"/>
  <c r="BH36" i="8"/>
  <c r="BJ36" i="8"/>
  <c r="BH12" i="8"/>
  <c r="BJ12" i="8"/>
  <c r="BH19" i="8"/>
  <c r="BJ19" i="8"/>
  <c r="BH40" i="8"/>
  <c r="BJ40" i="8"/>
  <c r="BH32" i="8"/>
  <c r="BJ32" i="8"/>
  <c r="BH24" i="8"/>
  <c r="BJ24" i="8"/>
  <c r="BH16" i="8"/>
  <c r="BJ16" i="8"/>
  <c r="BH39" i="8"/>
  <c r="BJ39" i="8"/>
  <c r="BH31" i="8"/>
  <c r="BJ31" i="8"/>
  <c r="BH23" i="8"/>
  <c r="BJ23" i="8"/>
  <c r="BH15" i="8"/>
  <c r="BJ15" i="8"/>
  <c r="BH38" i="8"/>
  <c r="BJ38" i="8"/>
  <c r="BH30" i="8"/>
  <c r="BJ30" i="8"/>
  <c r="BH22" i="8"/>
  <c r="BJ22" i="8"/>
  <c r="BH14" i="8"/>
  <c r="BJ14" i="8"/>
  <c r="BH37" i="8"/>
  <c r="BJ37" i="8"/>
  <c r="BH29" i="8"/>
  <c r="BJ29" i="8"/>
  <c r="BH21" i="8"/>
  <c r="BJ21" i="8"/>
  <c r="BH8" i="8"/>
  <c r="BJ8" i="8"/>
  <c r="BI22" i="1"/>
  <c r="BI21" i="1"/>
  <c r="BI19" i="1"/>
  <c r="BI11" i="1"/>
  <c r="BI13" i="1"/>
  <c r="BI8" i="1"/>
  <c r="BI24" i="1"/>
  <c r="BI16" i="1"/>
  <c r="BI18" i="1"/>
  <c r="BI9" i="1"/>
  <c r="BI23" i="1"/>
  <c r="BI20" i="1"/>
  <c r="BI12" i="1"/>
  <c r="BI10" i="1"/>
  <c r="BI15" i="1"/>
  <c r="BI17" i="1"/>
  <c r="BI14" i="1"/>
  <c r="BL16" i="14"/>
  <c r="BL19" i="14"/>
  <c r="BL14" i="14"/>
  <c r="BL29" i="14"/>
  <c r="BL30" i="14"/>
  <c r="BP14" i="17"/>
  <c r="BM31" i="13"/>
  <c r="U31" i="13" s="1"/>
  <c r="BM15" i="13"/>
  <c r="BM34" i="13"/>
  <c r="U34" i="13" s="1"/>
  <c r="BM18" i="13"/>
  <c r="U18" i="13" s="1"/>
  <c r="BM33" i="13"/>
  <c r="U33" i="13" s="1"/>
  <c r="BM17" i="13"/>
  <c r="BM13" i="13"/>
  <c r="U13" i="13" s="1"/>
  <c r="BL22" i="12"/>
  <c r="BL18" i="12"/>
  <c r="BM20" i="13"/>
  <c r="BK19" i="13"/>
  <c r="BM19" i="13"/>
  <c r="U19" i="13" s="1"/>
  <c r="BM16" i="13"/>
  <c r="BM22" i="13"/>
  <c r="BK28" i="13"/>
  <c r="BM28" i="13"/>
  <c r="BM21" i="13"/>
  <c r="U21" i="13" s="1"/>
  <c r="BM9" i="13"/>
  <c r="U9" i="13" s="1"/>
  <c r="BL12" i="14"/>
  <c r="BM27" i="13"/>
  <c r="U27" i="13" s="1"/>
  <c r="BM11" i="13"/>
  <c r="BM30" i="13"/>
  <c r="BM14" i="13"/>
  <c r="U14" i="13" s="1"/>
  <c r="BM29" i="13"/>
  <c r="U29" i="13" s="1"/>
  <c r="BM12" i="13"/>
  <c r="U12" i="13" s="1"/>
  <c r="BM32" i="13"/>
  <c r="BM23" i="13"/>
  <c r="U23" i="13" s="1"/>
  <c r="BK24" i="13"/>
  <c r="BM24" i="13"/>
  <c r="U24" i="13" s="1"/>
  <c r="BM26" i="13"/>
  <c r="BK10" i="13"/>
  <c r="BM10" i="13"/>
  <c r="BM25" i="13"/>
  <c r="BM8" i="13"/>
  <c r="U8" i="13" s="1"/>
  <c r="BL14" i="12"/>
  <c r="BK8" i="13"/>
  <c r="BJ15" i="14"/>
  <c r="BL15" i="14"/>
  <c r="BJ20" i="14"/>
  <c r="BL20" i="14"/>
  <c r="BJ10" i="14"/>
  <c r="BL10" i="14"/>
  <c r="BJ27" i="14"/>
  <c r="BL27" i="14"/>
  <c r="BJ26" i="14"/>
  <c r="BL26" i="14"/>
  <c r="BJ28" i="14"/>
  <c r="BL28" i="14"/>
  <c r="BJ13" i="14"/>
  <c r="BL13" i="14"/>
  <c r="BL11" i="14"/>
  <c r="BL31" i="14"/>
  <c r="BJ17" i="14"/>
  <c r="BL17" i="14"/>
  <c r="BJ21" i="14"/>
  <c r="BL21" i="14"/>
  <c r="BL8" i="14"/>
  <c r="BL17" i="12"/>
  <c r="T17" i="12" s="1"/>
  <c r="BL9" i="12"/>
  <c r="BL24" i="12"/>
  <c r="T24" i="12" s="1"/>
  <c r="BJ10" i="12"/>
  <c r="BL10" i="12"/>
  <c r="BL23" i="12"/>
  <c r="BL16" i="12"/>
  <c r="BL15" i="12"/>
  <c r="BL11" i="12"/>
  <c r="BL13" i="12"/>
  <c r="BL21" i="12"/>
  <c r="BL19" i="12"/>
  <c r="BL20" i="12"/>
  <c r="BL12" i="12"/>
  <c r="L8" i="17"/>
  <c r="K8" i="12"/>
  <c r="BG24" i="1"/>
  <c r="BN24" i="1"/>
  <c r="BG16" i="1"/>
  <c r="BN16" i="1"/>
  <c r="BG18" i="1"/>
  <c r="BN18" i="1"/>
  <c r="BG9" i="1"/>
  <c r="BN9" i="1"/>
  <c r="BG21" i="1"/>
  <c r="BN21" i="1"/>
  <c r="BG11" i="1"/>
  <c r="BN11" i="1"/>
  <c r="BG23" i="1"/>
  <c r="BN23" i="1"/>
  <c r="BG20" i="1"/>
  <c r="BN20" i="1"/>
  <c r="BG12" i="1"/>
  <c r="BN12" i="1"/>
  <c r="BG10" i="1"/>
  <c r="BN10" i="1"/>
  <c r="BG19" i="1"/>
  <c r="BN19" i="1"/>
  <c r="BG13" i="1"/>
  <c r="BN13" i="1"/>
  <c r="BG22" i="1"/>
  <c r="BN22" i="1"/>
  <c r="BG15" i="1"/>
  <c r="BN15" i="1"/>
  <c r="BG17" i="1"/>
  <c r="BN17" i="1"/>
  <c r="BG14" i="1"/>
  <c r="BN14" i="1"/>
  <c r="BG8" i="1"/>
  <c r="BL17" i="1"/>
  <c r="J20" i="12"/>
  <c r="J10" i="12"/>
  <c r="K10" i="12" s="1"/>
  <c r="J12" i="12"/>
  <c r="J16" i="12"/>
  <c r="J15" i="12"/>
  <c r="J23" i="12"/>
  <c r="J22" i="12"/>
  <c r="J9" i="12"/>
  <c r="K9" i="12" s="1"/>
  <c r="J14" i="12"/>
  <c r="J11" i="12"/>
  <c r="K11" i="12" s="1"/>
  <c r="J19" i="12"/>
  <c r="J18" i="12"/>
  <c r="J13" i="12"/>
  <c r="J21" i="12"/>
  <c r="K10" i="17"/>
  <c r="L10" i="17" s="1"/>
  <c r="Q10" i="17" s="1"/>
  <c r="BH13" i="8"/>
  <c r="K34" i="17"/>
  <c r="L34" i="17" s="1"/>
  <c r="K16" i="17"/>
  <c r="L16" i="17" s="1"/>
  <c r="K32" i="17"/>
  <c r="L32" i="17" s="1"/>
  <c r="K30" i="17"/>
  <c r="L30" i="17" s="1"/>
  <c r="BP25" i="17"/>
  <c r="BP28" i="17"/>
  <c r="BP17" i="17"/>
  <c r="BP23" i="17"/>
  <c r="K14" i="17"/>
  <c r="L14" i="17" s="1"/>
  <c r="K31" i="17"/>
  <c r="L31" i="17" s="1"/>
  <c r="BP22" i="17"/>
  <c r="BP13" i="17"/>
  <c r="BP20" i="17"/>
  <c r="BP30" i="17"/>
  <c r="BP21" i="17"/>
  <c r="BP11" i="17"/>
  <c r="K24" i="17"/>
  <c r="L24" i="17" s="1"/>
  <c r="K19" i="17"/>
  <c r="L19" i="17" s="1"/>
  <c r="BP10" i="17"/>
  <c r="K25" i="17"/>
  <c r="L25" i="17" s="1"/>
  <c r="K9" i="17"/>
  <c r="L9" i="17" s="1"/>
  <c r="K15" i="17"/>
  <c r="L15" i="17" s="1"/>
  <c r="K23" i="17"/>
  <c r="L23" i="17" s="1"/>
  <c r="K21" i="17"/>
  <c r="L21" i="17" s="1"/>
  <c r="K28" i="17"/>
  <c r="L28" i="17" s="1"/>
  <c r="K27" i="17"/>
  <c r="L27" i="17" s="1"/>
  <c r="K11" i="17"/>
  <c r="L11" i="17" s="1"/>
  <c r="K33" i="17"/>
  <c r="L33" i="17" s="1"/>
  <c r="K20" i="17"/>
  <c r="L20" i="17" s="1"/>
  <c r="K22" i="17"/>
  <c r="L22" i="17" s="1"/>
  <c r="K17" i="17"/>
  <c r="L17" i="17" s="1"/>
  <c r="K29" i="17"/>
  <c r="L29" i="17" s="1"/>
  <c r="K13" i="17"/>
  <c r="L13" i="17" s="1"/>
  <c r="K12" i="17"/>
  <c r="L12" i="17" s="1"/>
  <c r="BP15" i="17"/>
  <c r="BP12" i="17"/>
  <c r="BP8" i="17"/>
  <c r="BP32" i="17"/>
  <c r="BP31" i="17"/>
  <c r="BP26" i="17"/>
  <c r="BP33" i="17"/>
  <c r="BP27" i="17"/>
  <c r="BP34" i="17"/>
  <c r="BP19" i="17"/>
  <c r="BP18" i="17"/>
  <c r="BP16" i="17"/>
  <c r="BK10" i="17"/>
  <c r="BL8" i="1"/>
  <c r="AY23" i="1"/>
  <c r="AY21" i="1"/>
  <c r="AY19" i="1"/>
  <c r="AY17" i="1"/>
  <c r="AY15" i="1"/>
  <c r="AY13" i="1"/>
  <c r="AY10" i="1"/>
  <c r="AY8" i="1"/>
  <c r="AX20" i="1"/>
  <c r="AX14" i="1"/>
  <c r="AX23" i="1"/>
  <c r="AX21" i="1"/>
  <c r="AX19" i="1"/>
  <c r="AX17" i="1"/>
  <c r="AX15" i="1"/>
  <c r="AX13" i="1"/>
  <c r="AX10" i="1"/>
  <c r="AX8" i="1"/>
  <c r="AX24" i="1"/>
  <c r="AX18" i="1"/>
  <c r="AX11" i="1"/>
  <c r="AY24" i="1"/>
  <c r="AY22" i="1"/>
  <c r="AY20" i="1"/>
  <c r="AY18" i="1"/>
  <c r="AY16" i="1"/>
  <c r="AY14" i="1"/>
  <c r="AY11" i="1"/>
  <c r="AY9" i="1"/>
  <c r="AX22" i="1"/>
  <c r="AX16" i="1"/>
  <c r="AX9" i="1"/>
  <c r="AX12" i="1"/>
  <c r="AY12" i="1"/>
  <c r="BL18" i="1"/>
  <c r="BL21" i="1"/>
  <c r="BL24" i="1"/>
  <c r="BL20" i="1"/>
  <c r="BL16" i="1"/>
  <c r="BL12" i="1"/>
  <c r="BL23" i="1"/>
  <c r="BL19" i="1"/>
  <c r="BL15" i="1"/>
  <c r="BL11" i="1"/>
  <c r="BL22" i="1"/>
  <c r="BL14" i="1"/>
  <c r="BL10" i="1"/>
  <c r="BL13" i="1"/>
  <c r="BL9" i="1"/>
  <c r="BK8" i="17"/>
  <c r="BK34" i="17"/>
  <c r="BK18" i="17"/>
  <c r="BK25" i="17"/>
  <c r="BK28" i="17"/>
  <c r="BK16" i="17"/>
  <c r="BK23" i="17"/>
  <c r="BK30" i="17"/>
  <c r="BK14" i="17"/>
  <c r="BK21" i="17"/>
  <c r="BK32" i="17"/>
  <c r="BK12" i="17"/>
  <c r="BK19" i="17"/>
  <c r="BK26" i="17"/>
  <c r="BK33" i="17"/>
  <c r="BK17" i="17"/>
  <c r="BK24" i="17"/>
  <c r="BK31" i="17"/>
  <c r="BK15" i="17"/>
  <c r="BK22" i="17"/>
  <c r="BK29" i="17"/>
  <c r="BK13" i="17"/>
  <c r="BK20" i="17"/>
  <c r="BK27" i="17"/>
  <c r="BK11" i="17"/>
  <c r="BK9" i="17"/>
  <c r="BJ29" i="14"/>
  <c r="BJ22" i="14"/>
  <c r="BJ18" i="14"/>
  <c r="BJ12" i="14"/>
  <c r="BK23" i="13"/>
  <c r="BK12" i="13"/>
  <c r="BN14" i="17"/>
  <c r="BK34" i="13"/>
  <c r="BK31" i="13"/>
  <c r="U32" i="13"/>
  <c r="BK32" i="13"/>
  <c r="BK33" i="13"/>
  <c r="BK27" i="13"/>
  <c r="U20" i="13"/>
  <c r="BK20" i="13"/>
  <c r="BK21" i="13"/>
  <c r="BK18" i="13"/>
  <c r="BK25" i="13"/>
  <c r="BK16" i="13"/>
  <c r="BK29" i="13"/>
  <c r="BK22" i="13"/>
  <c r="U22" i="13"/>
  <c r="U11" i="13"/>
  <c r="BK11" i="13"/>
  <c r="BK13" i="13"/>
  <c r="BK26" i="13"/>
  <c r="U26" i="13"/>
  <c r="U15" i="13"/>
  <c r="BK15" i="13"/>
  <c r="BK17" i="13"/>
  <c r="U17" i="13"/>
  <c r="BK14" i="13"/>
  <c r="BK30" i="13"/>
  <c r="U30" i="13"/>
  <c r="BJ23" i="14"/>
  <c r="BJ19" i="14"/>
  <c r="BJ30" i="14"/>
  <c r="BJ8" i="14"/>
  <c r="BJ24" i="14"/>
  <c r="BJ25" i="14"/>
  <c r="BJ16" i="14"/>
  <c r="BJ11" i="14"/>
  <c r="BJ31" i="14"/>
  <c r="BJ14" i="14"/>
  <c r="BJ13" i="12"/>
  <c r="BJ23" i="12"/>
  <c r="BJ24" i="12"/>
  <c r="BJ18" i="12"/>
  <c r="BJ21" i="12"/>
  <c r="BJ12" i="12"/>
  <c r="BJ17" i="12"/>
  <c r="BJ11" i="12"/>
  <c r="BJ14" i="12"/>
  <c r="BJ20" i="12"/>
  <c r="BJ19" i="12"/>
  <c r="BJ16" i="12"/>
  <c r="BJ22" i="12"/>
  <c r="BJ15" i="12"/>
  <c r="BJ8" i="12"/>
  <c r="BJ9" i="12"/>
  <c r="W14" i="17" l="1"/>
  <c r="U25" i="13"/>
  <c r="U16" i="13"/>
  <c r="U28" i="13"/>
  <c r="U10" i="13"/>
  <c r="T18" i="14"/>
  <c r="T21" i="14"/>
  <c r="T31" i="14"/>
  <c r="T28" i="14"/>
  <c r="T27" i="14"/>
  <c r="T20" i="14"/>
  <c r="T10" i="14"/>
  <c r="T14" i="14"/>
  <c r="T22" i="14"/>
  <c r="T12" i="14"/>
  <c r="T30" i="14"/>
  <c r="T16" i="14"/>
  <c r="T24" i="14"/>
  <c r="T25" i="14"/>
  <c r="T19" i="14"/>
  <c r="T17" i="14"/>
  <c r="T8" i="14"/>
  <c r="T26" i="14"/>
  <c r="T29" i="14"/>
  <c r="T23" i="14"/>
  <c r="T11" i="14"/>
  <c r="T15" i="14"/>
  <c r="T13" i="14"/>
  <c r="I25" i="8"/>
  <c r="I22" i="8"/>
  <c r="BM36" i="8"/>
  <c r="I33" i="8"/>
  <c r="I8" i="8"/>
  <c r="I34" i="8"/>
  <c r="I32" i="8"/>
  <c r="I14" i="8"/>
  <c r="I12" i="8"/>
  <c r="BM37" i="8"/>
  <c r="I10" i="8"/>
  <c r="I24" i="8"/>
  <c r="I38" i="8"/>
  <c r="I30" i="8"/>
  <c r="I15" i="8"/>
  <c r="I16" i="8"/>
  <c r="BM39" i="8"/>
  <c r="U39" i="8" s="1"/>
  <c r="BM35" i="8"/>
  <c r="U35" i="8" s="1"/>
  <c r="I17" i="8"/>
  <c r="I23" i="8"/>
  <c r="I11" i="8"/>
  <c r="I29" i="8"/>
  <c r="I20" i="8"/>
  <c r="I40" i="8"/>
  <c r="I19" i="8"/>
  <c r="I37" i="8"/>
  <c r="I35" i="8"/>
  <c r="I28" i="8"/>
  <c r="I36" i="8"/>
  <c r="I31" i="8"/>
  <c r="I9" i="8"/>
  <c r="I27" i="8"/>
  <c r="BM29" i="8"/>
  <c r="T21" i="12"/>
  <c r="T22" i="12"/>
  <c r="T13" i="12"/>
  <c r="T20" i="12"/>
  <c r="T8" i="12"/>
  <c r="T12" i="12"/>
  <c r="T23" i="12"/>
  <c r="T9" i="12"/>
  <c r="T14" i="12"/>
  <c r="T16" i="12"/>
  <c r="T11" i="12"/>
  <c r="T10" i="12"/>
  <c r="T19" i="12"/>
  <c r="T15" i="12"/>
  <c r="T18" i="12"/>
  <c r="BM12" i="1"/>
  <c r="BM11" i="1"/>
  <c r="R11" i="1" s="1"/>
  <c r="BP9" i="17"/>
  <c r="W9" i="17" s="1"/>
  <c r="BN24" i="17"/>
  <c r="BP24" i="17"/>
  <c r="W24" i="17" s="1"/>
  <c r="BN29" i="17"/>
  <c r="BP29" i="17"/>
  <c r="W29" i="17" s="1"/>
  <c r="W8" i="17"/>
  <c r="BJ9" i="14"/>
  <c r="BL9" i="14"/>
  <c r="BM14" i="1"/>
  <c r="BK14" i="8"/>
  <c r="BM14" i="8"/>
  <c r="BK19" i="8"/>
  <c r="BM19" i="8"/>
  <c r="BK31" i="8"/>
  <c r="BM31" i="8"/>
  <c r="BK24" i="8"/>
  <c r="BM24" i="8"/>
  <c r="BK38" i="8"/>
  <c r="BM38" i="8"/>
  <c r="BK28" i="8"/>
  <c r="BM28" i="8"/>
  <c r="BK15" i="8"/>
  <c r="BM15" i="8"/>
  <c r="BK27" i="8"/>
  <c r="BM27" i="8"/>
  <c r="BK21" i="8"/>
  <c r="BM21" i="8"/>
  <c r="BK30" i="8"/>
  <c r="BM30" i="8"/>
  <c r="BK41" i="8"/>
  <c r="BM41" i="8"/>
  <c r="BK11" i="8"/>
  <c r="BM11" i="8"/>
  <c r="BK10" i="8"/>
  <c r="BM10" i="8"/>
  <c r="BK17" i="8"/>
  <c r="BM17" i="8"/>
  <c r="BK32" i="8"/>
  <c r="BM32" i="8"/>
  <c r="BK16" i="8"/>
  <c r="BM16" i="8"/>
  <c r="BK25" i="8"/>
  <c r="BM25" i="8"/>
  <c r="BK26" i="8"/>
  <c r="BM26" i="8"/>
  <c r="BK9" i="8"/>
  <c r="BM9" i="8"/>
  <c r="BK34" i="8"/>
  <c r="BM34" i="8"/>
  <c r="BK22" i="8"/>
  <c r="BM22" i="8"/>
  <c r="BK40" i="8"/>
  <c r="BM40" i="8"/>
  <c r="BK23" i="8"/>
  <c r="BM23" i="8"/>
  <c r="BK18" i="8"/>
  <c r="BM18" i="8"/>
  <c r="BK20" i="8"/>
  <c r="BM20" i="8"/>
  <c r="BK12" i="8"/>
  <c r="BM12" i="8"/>
  <c r="BK33" i="8"/>
  <c r="BM33" i="8"/>
  <c r="BK13" i="8"/>
  <c r="BM13" i="8"/>
  <c r="BM8" i="8"/>
  <c r="U8" i="8" s="1"/>
  <c r="BM19" i="1"/>
  <c r="R19" i="1" s="1"/>
  <c r="BM20" i="1"/>
  <c r="BM23" i="1"/>
  <c r="R23" i="1" s="1"/>
  <c r="BM24" i="1"/>
  <c r="BM21" i="1"/>
  <c r="R21" i="1" s="1"/>
  <c r="BM22" i="1"/>
  <c r="BJ13" i="1"/>
  <c r="BK13" i="1" s="1"/>
  <c r="BM13" i="1"/>
  <c r="R13" i="1" s="1"/>
  <c r="BJ9" i="1"/>
  <c r="BK9" i="1" s="1"/>
  <c r="BM9" i="1"/>
  <c r="BM18" i="1"/>
  <c r="R18" i="1" s="1"/>
  <c r="BJ17" i="1"/>
  <c r="BK17" i="1" s="1"/>
  <c r="BM17" i="1"/>
  <c r="R17" i="1" s="1"/>
  <c r="BM15" i="1"/>
  <c r="BM16" i="1"/>
  <c r="BJ10" i="1"/>
  <c r="BK10" i="1" s="1"/>
  <c r="BM10" i="1"/>
  <c r="R10" i="1" s="1"/>
  <c r="BM8" i="1"/>
  <c r="H8" i="1"/>
  <c r="H17" i="1"/>
  <c r="H16" i="1"/>
  <c r="H22" i="1"/>
  <c r="H10" i="1"/>
  <c r="H19" i="1"/>
  <c r="H12" i="1"/>
  <c r="H11" i="1"/>
  <c r="H20" i="1"/>
  <c r="H24" i="1"/>
  <c r="H9" i="1"/>
  <c r="H18" i="1"/>
  <c r="H13" i="1"/>
  <c r="H21" i="1"/>
  <c r="H15" i="1"/>
  <c r="H23" i="1"/>
  <c r="H14" i="1"/>
  <c r="BJ14" i="1"/>
  <c r="BK14" i="1" s="1"/>
  <c r="BK29" i="8"/>
  <c r="U37" i="8"/>
  <c r="U36" i="8"/>
  <c r="W34" i="17"/>
  <c r="BN19" i="17"/>
  <c r="W19" i="17"/>
  <c r="W26" i="17"/>
  <c r="W12" i="17"/>
  <c r="W30" i="17"/>
  <c r="W17" i="17"/>
  <c r="BN31" i="17"/>
  <c r="W31" i="17"/>
  <c r="W27" i="17"/>
  <c r="W32" i="17"/>
  <c r="W15" i="17"/>
  <c r="BN11" i="17"/>
  <c r="W11" i="17"/>
  <c r="W13" i="17"/>
  <c r="W23" i="17"/>
  <c r="BN25" i="17"/>
  <c r="W25" i="17"/>
  <c r="W20" i="17"/>
  <c r="W28" i="17"/>
  <c r="W18" i="17"/>
  <c r="BN33" i="17"/>
  <c r="W33" i="17"/>
  <c r="W21" i="17"/>
  <c r="W22" i="17"/>
  <c r="W10" i="17"/>
  <c r="BN28" i="17"/>
  <c r="BN8" i="17"/>
  <c r="BN12" i="17"/>
  <c r="BN27" i="17"/>
  <c r="BN26" i="17"/>
  <c r="BN32" i="17"/>
  <c r="BN34" i="17"/>
  <c r="W16" i="17"/>
  <c r="BN16" i="17"/>
  <c r="BJ11" i="1"/>
  <c r="BK11" i="1" s="1"/>
  <c r="BJ12" i="1"/>
  <c r="BK12" i="1" s="1"/>
  <c r="BK39" i="8"/>
  <c r="BK8" i="8"/>
  <c r="BK35" i="8"/>
  <c r="BK36" i="8"/>
  <c r="BK37" i="8"/>
  <c r="BJ8" i="1"/>
  <c r="BK8" i="1" s="1"/>
  <c r="BN20" i="17"/>
  <c r="BN23" i="17"/>
  <c r="BN30" i="17"/>
  <c r="BN13" i="17"/>
  <c r="BN21" i="17"/>
  <c r="BN10" i="17"/>
  <c r="BN17" i="17"/>
  <c r="BN15" i="17"/>
  <c r="BN22" i="17"/>
  <c r="BN18" i="17"/>
  <c r="BN9" i="17"/>
  <c r="BK9" i="13"/>
  <c r="BJ19" i="1"/>
  <c r="BK19" i="1" s="1"/>
  <c r="BJ21" i="1"/>
  <c r="BK21" i="1" s="1"/>
  <c r="BJ23" i="1"/>
  <c r="BK23" i="1" s="1"/>
  <c r="BJ20" i="1"/>
  <c r="BK20" i="1" s="1"/>
  <c r="BJ15" i="1"/>
  <c r="BK15" i="1" s="1"/>
  <c r="BJ22" i="1"/>
  <c r="BK22" i="1" s="1"/>
  <c r="BJ24" i="1"/>
  <c r="BK24" i="1" s="1"/>
  <c r="BJ16" i="1"/>
  <c r="BK16" i="1" s="1"/>
  <c r="BJ18" i="1"/>
  <c r="BK18" i="1" s="1"/>
  <c r="T9" i="14" l="1"/>
  <c r="R16" i="1"/>
  <c r="R8" i="1"/>
  <c r="R15" i="1"/>
  <c r="R9" i="1"/>
  <c r="R22" i="1"/>
  <c r="R20" i="1"/>
  <c r="R14" i="1"/>
  <c r="R24" i="1"/>
  <c r="R12" i="1"/>
  <c r="H25" i="1"/>
  <c r="U29" i="8"/>
  <c r="U18" i="8"/>
  <c r="U34" i="8"/>
  <c r="U30" i="8"/>
  <c r="U25" i="8"/>
  <c r="U26" i="8"/>
  <c r="U40" i="8"/>
  <c r="U33" i="8"/>
  <c r="U32" i="8"/>
  <c r="U31" i="8"/>
  <c r="U41" i="8"/>
  <c r="U38" i="8"/>
  <c r="U27" i="8"/>
  <c r="U28" i="8"/>
  <c r="V48" i="17"/>
  <c r="K32" i="12" l="1"/>
  <c r="M26" i="12"/>
  <c r="E32" i="18"/>
  <c r="E28" i="18"/>
  <c r="K3" i="18" l="1"/>
  <c r="K4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2" i="18"/>
  <c r="D18" i="18"/>
  <c r="D3" i="18"/>
  <c r="D4" i="18"/>
  <c r="D5" i="18"/>
  <c r="D6" i="18"/>
  <c r="D7" i="18"/>
  <c r="D9" i="18"/>
  <c r="D10" i="18"/>
  <c r="D11" i="18"/>
  <c r="D12" i="18"/>
  <c r="D13" i="18"/>
  <c r="D14" i="18"/>
  <c r="D15" i="18"/>
  <c r="D16" i="18"/>
  <c r="D17" i="18"/>
  <c r="D2" i="18"/>
  <c r="C8" i="18"/>
  <c r="D8" i="18" s="1"/>
  <c r="N24" i="1"/>
  <c r="N21" i="1"/>
  <c r="M42" i="17" l="1"/>
  <c r="BA41" i="17"/>
  <c r="AZ41" i="17"/>
  <c r="AY41" i="17"/>
  <c r="AX41" i="17"/>
  <c r="AW41" i="17"/>
  <c r="AV41" i="17"/>
  <c r="AU41" i="17"/>
  <c r="AT41" i="17"/>
  <c r="AS41" i="17"/>
  <c r="AR41" i="17"/>
  <c r="AQ41" i="17"/>
  <c r="AP41" i="17"/>
  <c r="AO41" i="17"/>
  <c r="AN41" i="17"/>
  <c r="AM41" i="17"/>
  <c r="AL41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O36" i="17"/>
  <c r="N36" i="17" s="1"/>
  <c r="M36" i="17" s="1"/>
  <c r="L36" i="17" s="1"/>
  <c r="P35" i="17"/>
  <c r="L42" i="17" s="1"/>
  <c r="U34" i="17"/>
  <c r="S34" i="17"/>
  <c r="R34" i="17" s="1"/>
  <c r="U33" i="17"/>
  <c r="S33" i="17"/>
  <c r="R33" i="17" s="1"/>
  <c r="U32" i="17"/>
  <c r="S32" i="17"/>
  <c r="R32" i="17" s="1"/>
  <c r="U31" i="17"/>
  <c r="S31" i="17"/>
  <c r="R31" i="17" s="1"/>
  <c r="U30" i="17"/>
  <c r="S30" i="17"/>
  <c r="R30" i="17" s="1"/>
  <c r="U29" i="17"/>
  <c r="S29" i="17"/>
  <c r="R29" i="17" s="1"/>
  <c r="U28" i="17"/>
  <c r="S28" i="17"/>
  <c r="R28" i="17" s="1"/>
  <c r="U27" i="17"/>
  <c r="S27" i="17"/>
  <c r="R27" i="17" s="1"/>
  <c r="U26" i="17"/>
  <c r="S26" i="17"/>
  <c r="R26" i="17" s="1"/>
  <c r="U25" i="17"/>
  <c r="S25" i="17"/>
  <c r="R25" i="17" s="1"/>
  <c r="U24" i="17"/>
  <c r="S24" i="17"/>
  <c r="R24" i="17" s="1"/>
  <c r="U23" i="17"/>
  <c r="S23" i="17"/>
  <c r="R23" i="17" s="1"/>
  <c r="U22" i="17"/>
  <c r="S22" i="17"/>
  <c r="R22" i="17" s="1"/>
  <c r="U21" i="17"/>
  <c r="S21" i="17"/>
  <c r="R21" i="17" s="1"/>
  <c r="U20" i="17"/>
  <c r="S20" i="17"/>
  <c r="R20" i="17" s="1"/>
  <c r="U19" i="17"/>
  <c r="S19" i="17"/>
  <c r="R19" i="17" s="1"/>
  <c r="U18" i="17"/>
  <c r="S18" i="17"/>
  <c r="R18" i="17" s="1"/>
  <c r="U17" i="17"/>
  <c r="S17" i="17"/>
  <c r="R17" i="17" s="1"/>
  <c r="U16" i="17"/>
  <c r="S16" i="17"/>
  <c r="R16" i="17" s="1"/>
  <c r="U15" i="17"/>
  <c r="S15" i="17"/>
  <c r="R15" i="17" s="1"/>
  <c r="U14" i="17"/>
  <c r="S14" i="17"/>
  <c r="R14" i="17" s="1"/>
  <c r="U13" i="17"/>
  <c r="S13" i="17"/>
  <c r="R13" i="17" s="1"/>
  <c r="U12" i="17"/>
  <c r="S12" i="17"/>
  <c r="R12" i="17" s="1"/>
  <c r="U11" i="17"/>
  <c r="S11" i="17"/>
  <c r="R11" i="17" s="1"/>
  <c r="U9" i="17"/>
  <c r="S9" i="17"/>
  <c r="R9" i="17" s="1"/>
  <c r="Q9" i="17"/>
  <c r="V12" i="17" l="1"/>
  <c r="BC41" i="17"/>
  <c r="AP38" i="17"/>
  <c r="AP39" i="17" s="1"/>
  <c r="AP36" i="17" s="1"/>
  <c r="Z38" i="17"/>
  <c r="Z39" i="17" s="1"/>
  <c r="Z36" i="17" s="1"/>
  <c r="AH38" i="17"/>
  <c r="AH39" i="17" s="1"/>
  <c r="AH36" i="17" s="1"/>
  <c r="AX38" i="17"/>
  <c r="AX39" i="17" s="1"/>
  <c r="AX36" i="17" s="1"/>
  <c r="AC38" i="17"/>
  <c r="AC39" i="17" s="1"/>
  <c r="AC40" i="17" s="1"/>
  <c r="AK38" i="17"/>
  <c r="AK39" i="17" s="1"/>
  <c r="AK40" i="17" s="1"/>
  <c r="AS38" i="17"/>
  <c r="AS39" i="17" s="1"/>
  <c r="AS40" i="17" s="1"/>
  <c r="V10" i="17"/>
  <c r="Q12" i="17"/>
  <c r="M12" i="17"/>
  <c r="N12" i="17" s="1"/>
  <c r="Q16" i="17"/>
  <c r="M16" i="17"/>
  <c r="N16" i="17" s="1"/>
  <c r="Q20" i="17"/>
  <c r="M20" i="17"/>
  <c r="N20" i="17" s="1"/>
  <c r="Q24" i="17"/>
  <c r="M24" i="17"/>
  <c r="N24" i="17" s="1"/>
  <c r="Q28" i="17"/>
  <c r="M28" i="17"/>
  <c r="N28" i="17" s="1"/>
  <c r="Q32" i="17"/>
  <c r="M32" i="17"/>
  <c r="N32" i="17" s="1"/>
  <c r="M10" i="17"/>
  <c r="N10" i="17" s="1"/>
  <c r="Q14" i="17"/>
  <c r="M14" i="17"/>
  <c r="N14" i="17" s="1"/>
  <c r="Q18" i="17"/>
  <c r="M18" i="17"/>
  <c r="N18" i="17" s="1"/>
  <c r="Q22" i="17"/>
  <c r="M22" i="17"/>
  <c r="N22" i="17" s="1"/>
  <c r="Q26" i="17"/>
  <c r="M26" i="17"/>
  <c r="N26" i="17" s="1"/>
  <c r="Q30" i="17"/>
  <c r="M30" i="17"/>
  <c r="N30" i="17" s="1"/>
  <c r="Q34" i="17"/>
  <c r="M34" i="17"/>
  <c r="N34" i="17" s="1"/>
  <c r="V9" i="17"/>
  <c r="M9" i="17"/>
  <c r="N9" i="17" s="1"/>
  <c r="BA38" i="17"/>
  <c r="BA39" i="17" s="1"/>
  <c r="AZ38" i="17"/>
  <c r="AZ39" i="17" s="1"/>
  <c r="AV38" i="17"/>
  <c r="AV39" i="17" s="1"/>
  <c r="AR38" i="17"/>
  <c r="AR39" i="17" s="1"/>
  <c r="AN38" i="17"/>
  <c r="AN39" i="17" s="1"/>
  <c r="AN40" i="17" s="1"/>
  <c r="AJ38" i="17"/>
  <c r="AJ39" i="17" s="1"/>
  <c r="AF38" i="17"/>
  <c r="AF39" i="17" s="1"/>
  <c r="AF40" i="17" s="1"/>
  <c r="AB38" i="17"/>
  <c r="AB39" i="17" s="1"/>
  <c r="X38" i="17"/>
  <c r="AY38" i="17"/>
  <c r="AY39" i="17" s="1"/>
  <c r="AU38" i="17"/>
  <c r="AU39" i="17" s="1"/>
  <c r="AQ38" i="17"/>
  <c r="AQ39" i="17" s="1"/>
  <c r="AM38" i="17"/>
  <c r="AM39" i="17" s="1"/>
  <c r="AI38" i="17"/>
  <c r="AI39" i="17" s="1"/>
  <c r="AE38" i="17"/>
  <c r="AE39" i="17" s="1"/>
  <c r="AA38" i="17"/>
  <c r="AA39" i="17" s="1"/>
  <c r="AD38" i="17"/>
  <c r="AD39" i="17" s="1"/>
  <c r="AL38" i="17"/>
  <c r="AL39" i="17" s="1"/>
  <c r="AT38" i="17"/>
  <c r="AT39" i="17" s="1"/>
  <c r="BB38" i="17"/>
  <c r="BB39" i="17" s="1"/>
  <c r="Y38" i="17"/>
  <c r="Y39" i="17" s="1"/>
  <c r="AG38" i="17"/>
  <c r="AG39" i="17" s="1"/>
  <c r="AO38" i="17"/>
  <c r="AO39" i="17" s="1"/>
  <c r="AW38" i="17"/>
  <c r="AW39" i="17" s="1"/>
  <c r="V8" i="17" l="1"/>
  <c r="V15" i="17"/>
  <c r="V13" i="17"/>
  <c r="V11" i="17"/>
  <c r="V14" i="17"/>
  <c r="V16" i="17"/>
  <c r="AH40" i="17"/>
  <c r="Z40" i="17"/>
  <c r="X39" i="17"/>
  <c r="BC38" i="17"/>
  <c r="AP40" i="17"/>
  <c r="AX40" i="17"/>
  <c r="AK36" i="17"/>
  <c r="AS36" i="17"/>
  <c r="AC36" i="17"/>
  <c r="AN36" i="17"/>
  <c r="AO40" i="17"/>
  <c r="AO36" i="17"/>
  <c r="AA36" i="17"/>
  <c r="AA40" i="17"/>
  <c r="AB36" i="17"/>
  <c r="AB40" i="17"/>
  <c r="AG40" i="17"/>
  <c r="AG36" i="17"/>
  <c r="Q31" i="17"/>
  <c r="M31" i="17"/>
  <c r="N31" i="17" s="1"/>
  <c r="Q27" i="17"/>
  <c r="M27" i="17"/>
  <c r="N27" i="17" s="1"/>
  <c r="M23" i="17"/>
  <c r="N23" i="17" s="1"/>
  <c r="Q23" i="17"/>
  <c r="M19" i="17"/>
  <c r="N19" i="17" s="1"/>
  <c r="Q19" i="17"/>
  <c r="Q15" i="17"/>
  <c r="M15" i="17"/>
  <c r="N15" i="17" s="1"/>
  <c r="Q11" i="17"/>
  <c r="M11" i="17"/>
  <c r="N11" i="17" s="1"/>
  <c r="AE36" i="17"/>
  <c r="AE40" i="17"/>
  <c r="AF36" i="17"/>
  <c r="Y40" i="17"/>
  <c r="Y36" i="17"/>
  <c r="AD40" i="17"/>
  <c r="AD36" i="17"/>
  <c r="O42" i="17"/>
  <c r="O43" i="17" s="1"/>
  <c r="AI36" i="17"/>
  <c r="AI40" i="17"/>
  <c r="AY36" i="17"/>
  <c r="AY40" i="17"/>
  <c r="AJ36" i="17"/>
  <c r="AJ40" i="17"/>
  <c r="AZ36" i="17"/>
  <c r="AZ40" i="17"/>
  <c r="X36" i="17"/>
  <c r="AT40" i="17"/>
  <c r="AT36" i="17"/>
  <c r="AQ36" i="17"/>
  <c r="AQ40" i="17"/>
  <c r="AR36" i="17"/>
  <c r="AR40" i="17"/>
  <c r="L35" i="17"/>
  <c r="M8" i="17"/>
  <c r="N8" i="17" s="1"/>
  <c r="Q8" i="17"/>
  <c r="AL40" i="17"/>
  <c r="AL36" i="17"/>
  <c r="AU36" i="17"/>
  <c r="AU40" i="17"/>
  <c r="AV36" i="17"/>
  <c r="AV40" i="17"/>
  <c r="AW40" i="17"/>
  <c r="AW36" i="17"/>
  <c r="M33" i="17"/>
  <c r="N33" i="17" s="1"/>
  <c r="Q33" i="17"/>
  <c r="M29" i="17"/>
  <c r="N29" i="17" s="1"/>
  <c r="Q29" i="17"/>
  <c r="Q25" i="17"/>
  <c r="M25" i="17"/>
  <c r="N25" i="17" s="1"/>
  <c r="Q21" i="17"/>
  <c r="M21" i="17"/>
  <c r="N21" i="17" s="1"/>
  <c r="Q17" i="17"/>
  <c r="M17" i="17"/>
  <c r="N17" i="17" s="1"/>
  <c r="Q13" i="17"/>
  <c r="M13" i="17"/>
  <c r="N13" i="17" s="1"/>
  <c r="BB40" i="17"/>
  <c r="BB36" i="17"/>
  <c r="AM36" i="17"/>
  <c r="AM40" i="17"/>
  <c r="BA40" i="17"/>
  <c r="BA36" i="17"/>
  <c r="BC36" i="17" l="1"/>
  <c r="X40" i="17"/>
  <c r="BC39" i="17"/>
  <c r="M35" i="17"/>
  <c r="Q35" i="17"/>
  <c r="L43" i="17"/>
  <c r="M43" i="17" l="1"/>
  <c r="N35" i="17"/>
  <c r="N37" i="17" s="1"/>
  <c r="N43" i="17" l="1"/>
  <c r="O35" i="17"/>
  <c r="I13" i="14" l="1"/>
  <c r="J8" i="8"/>
  <c r="J25" i="12" l="1"/>
  <c r="A146" i="16"/>
  <c r="A145" i="16"/>
  <c r="A144" i="16"/>
  <c r="A143" i="16"/>
  <c r="A142" i="16"/>
  <c r="A141" i="16"/>
  <c r="A140" i="16"/>
  <c r="Z139" i="16"/>
  <c r="Y139" i="16"/>
  <c r="X139" i="16"/>
  <c r="W139" i="16"/>
  <c r="V139" i="16"/>
  <c r="U139" i="16"/>
  <c r="T139" i="16"/>
  <c r="S139" i="16"/>
  <c r="R139" i="16"/>
  <c r="Q139" i="16"/>
  <c r="P139" i="16"/>
  <c r="O139" i="16"/>
  <c r="A139" i="16"/>
  <c r="A138" i="16"/>
  <c r="A137" i="16"/>
  <c r="A136" i="16"/>
  <c r="A135" i="16"/>
  <c r="A134" i="16"/>
  <c r="A133" i="16"/>
  <c r="A132" i="16"/>
  <c r="Z131" i="16"/>
  <c r="Y131" i="16"/>
  <c r="X131" i="16"/>
  <c r="W131" i="16"/>
  <c r="V131" i="16"/>
  <c r="U131" i="16"/>
  <c r="T131" i="16"/>
  <c r="S131" i="16"/>
  <c r="R131" i="16"/>
  <c r="Q131" i="16"/>
  <c r="P131" i="16"/>
  <c r="O131" i="16"/>
  <c r="A131" i="16"/>
  <c r="A130" i="16"/>
  <c r="A129" i="16"/>
  <c r="A128" i="16"/>
  <c r="Z127" i="16"/>
  <c r="Y127" i="16"/>
  <c r="X127" i="16"/>
  <c r="W127" i="16"/>
  <c r="V127" i="16"/>
  <c r="U127" i="16"/>
  <c r="T127" i="16"/>
  <c r="S127" i="16"/>
  <c r="R127" i="16"/>
  <c r="Q127" i="16"/>
  <c r="P127" i="16"/>
  <c r="O127" i="16"/>
  <c r="A127" i="16"/>
  <c r="A126" i="16"/>
  <c r="A125" i="16"/>
  <c r="A124" i="16"/>
  <c r="A123" i="16"/>
  <c r="A122" i="16"/>
  <c r="Z121" i="16"/>
  <c r="Y121" i="16"/>
  <c r="X121" i="16"/>
  <c r="W121" i="16"/>
  <c r="V121" i="16"/>
  <c r="U121" i="16"/>
  <c r="T121" i="16"/>
  <c r="S121" i="16"/>
  <c r="R121" i="16"/>
  <c r="Q121" i="16"/>
  <c r="P121" i="16"/>
  <c r="O121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Z102" i="16"/>
  <c r="Y102" i="16"/>
  <c r="X102" i="16"/>
  <c r="W102" i="16"/>
  <c r="V102" i="16"/>
  <c r="U102" i="16"/>
  <c r="T102" i="16"/>
  <c r="S102" i="16"/>
  <c r="R102" i="16"/>
  <c r="Q102" i="16"/>
  <c r="P102" i="16"/>
  <c r="O102" i="16"/>
  <c r="A102" i="16"/>
  <c r="Z101" i="16"/>
  <c r="Y101" i="16"/>
  <c r="X101" i="16"/>
  <c r="W101" i="16"/>
  <c r="V101" i="16"/>
  <c r="U101" i="16"/>
  <c r="T101" i="16"/>
  <c r="S101" i="16"/>
  <c r="R101" i="16"/>
  <c r="Q101" i="16"/>
  <c r="P101" i="16"/>
  <c r="O101" i="16"/>
  <c r="A101" i="16"/>
  <c r="Z100" i="16"/>
  <c r="Y100" i="16"/>
  <c r="X100" i="16"/>
  <c r="W100" i="16"/>
  <c r="V100" i="16"/>
  <c r="U100" i="16"/>
  <c r="T100" i="16"/>
  <c r="S100" i="16"/>
  <c r="R100" i="16"/>
  <c r="Q100" i="16"/>
  <c r="P100" i="16"/>
  <c r="O100" i="16"/>
  <c r="A100" i="16"/>
  <c r="A99" i="16"/>
  <c r="A98" i="16"/>
  <c r="Z97" i="16"/>
  <c r="Y97" i="16"/>
  <c r="X97" i="16"/>
  <c r="W97" i="16"/>
  <c r="V97" i="16"/>
  <c r="U97" i="16"/>
  <c r="T97" i="16"/>
  <c r="S97" i="16"/>
  <c r="R97" i="16"/>
  <c r="Q97" i="16"/>
  <c r="P97" i="16"/>
  <c r="O97" i="16"/>
  <c r="A97" i="16"/>
  <c r="Z96" i="16"/>
  <c r="Y96" i="16"/>
  <c r="X96" i="16"/>
  <c r="W96" i="16"/>
  <c r="V96" i="16"/>
  <c r="U96" i="16"/>
  <c r="T96" i="16"/>
  <c r="S96" i="16"/>
  <c r="R96" i="16"/>
  <c r="Q96" i="16"/>
  <c r="P96" i="16"/>
  <c r="O96" i="16"/>
  <c r="A96" i="16"/>
  <c r="Z95" i="16"/>
  <c r="Y95" i="16"/>
  <c r="X95" i="16"/>
  <c r="W95" i="16"/>
  <c r="V95" i="16"/>
  <c r="U95" i="16"/>
  <c r="T95" i="16"/>
  <c r="S95" i="16"/>
  <c r="R95" i="16"/>
  <c r="Q95" i="16"/>
  <c r="P95" i="16"/>
  <c r="O95" i="16"/>
  <c r="A95" i="16"/>
  <c r="A94" i="16"/>
  <c r="A93" i="16"/>
  <c r="A92" i="16"/>
  <c r="A91" i="16"/>
  <c r="A90" i="16"/>
  <c r="Z89" i="16"/>
  <c r="Y89" i="16"/>
  <c r="X89" i="16"/>
  <c r="W89" i="16"/>
  <c r="V89" i="16"/>
  <c r="U89" i="16"/>
  <c r="T89" i="16"/>
  <c r="S89" i="16"/>
  <c r="R89" i="16"/>
  <c r="Q89" i="16"/>
  <c r="P89" i="16"/>
  <c r="O89" i="16"/>
  <c r="A89" i="16"/>
  <c r="Z88" i="16"/>
  <c r="Y88" i="16"/>
  <c r="X88" i="16"/>
  <c r="W88" i="16"/>
  <c r="V88" i="16"/>
  <c r="U88" i="16"/>
  <c r="T88" i="16"/>
  <c r="S88" i="16"/>
  <c r="R88" i="16"/>
  <c r="Q88" i="16"/>
  <c r="P88" i="16"/>
  <c r="O88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O72" i="16"/>
  <c r="N72" i="16"/>
  <c r="O71" i="16"/>
  <c r="N71" i="16"/>
  <c r="O70" i="16"/>
  <c r="N70" i="16"/>
  <c r="O69" i="16"/>
  <c r="N69" i="16"/>
  <c r="O68" i="16"/>
  <c r="N68" i="16"/>
  <c r="O67" i="16"/>
  <c r="N67" i="16"/>
  <c r="O66" i="16"/>
  <c r="N66" i="16"/>
  <c r="O65" i="16"/>
  <c r="N65" i="16"/>
  <c r="O64" i="16"/>
  <c r="N64" i="16"/>
  <c r="O63" i="16"/>
  <c r="N63" i="16"/>
  <c r="O62" i="16"/>
  <c r="N62" i="16"/>
  <c r="O61" i="16"/>
  <c r="N61" i="16"/>
  <c r="O60" i="16"/>
  <c r="N60" i="16"/>
  <c r="O59" i="16"/>
  <c r="N59" i="16"/>
  <c r="O58" i="16"/>
  <c r="N58" i="16"/>
  <c r="O57" i="16"/>
  <c r="N57" i="16"/>
  <c r="O56" i="16"/>
  <c r="N56" i="16"/>
  <c r="O55" i="16"/>
  <c r="N55" i="16"/>
  <c r="O54" i="16"/>
  <c r="N54" i="16"/>
  <c r="O53" i="16"/>
  <c r="N53" i="16"/>
  <c r="O52" i="16"/>
  <c r="N52" i="16"/>
  <c r="O51" i="16"/>
  <c r="N51" i="16"/>
  <c r="O50" i="16"/>
  <c r="N50" i="16"/>
  <c r="O49" i="16"/>
  <c r="N49" i="16"/>
  <c r="O48" i="16"/>
  <c r="N48" i="16"/>
  <c r="O47" i="16"/>
  <c r="N47" i="16"/>
  <c r="O46" i="16"/>
  <c r="N46" i="16"/>
  <c r="O45" i="16"/>
  <c r="N45" i="16"/>
  <c r="O44" i="16"/>
  <c r="N44" i="16"/>
  <c r="O43" i="16"/>
  <c r="N43" i="16"/>
  <c r="O42" i="16"/>
  <c r="N42" i="16"/>
  <c r="O41" i="16"/>
  <c r="N41" i="16"/>
  <c r="O40" i="16"/>
  <c r="N40" i="16"/>
  <c r="O39" i="16"/>
  <c r="N39" i="16"/>
  <c r="O38" i="16"/>
  <c r="N38" i="16"/>
  <c r="O37" i="16"/>
  <c r="N37" i="16"/>
  <c r="O36" i="16"/>
  <c r="N36" i="16"/>
  <c r="O35" i="16"/>
  <c r="N35" i="16"/>
  <c r="O34" i="16"/>
  <c r="N34" i="16"/>
  <c r="O33" i="16"/>
  <c r="N33" i="16"/>
  <c r="O32" i="16"/>
  <c r="N32" i="16"/>
  <c r="O31" i="16"/>
  <c r="N31" i="16"/>
  <c r="O30" i="16"/>
  <c r="N30" i="16"/>
  <c r="O29" i="16"/>
  <c r="N29" i="16"/>
  <c r="O28" i="16"/>
  <c r="N28" i="16"/>
  <c r="O27" i="16"/>
  <c r="N27" i="16"/>
  <c r="O26" i="16"/>
  <c r="N26" i="16"/>
  <c r="O25" i="16"/>
  <c r="N25" i="16"/>
  <c r="O24" i="16"/>
  <c r="N24" i="16"/>
  <c r="O23" i="16"/>
  <c r="N23" i="16"/>
  <c r="O22" i="16"/>
  <c r="N22" i="16"/>
  <c r="O21" i="16"/>
  <c r="N21" i="16"/>
  <c r="O20" i="16"/>
  <c r="N20" i="16"/>
  <c r="O19" i="16"/>
  <c r="N19" i="16"/>
  <c r="O18" i="16"/>
  <c r="N18" i="16"/>
  <c r="O17" i="16"/>
  <c r="N17" i="16"/>
  <c r="O16" i="16"/>
  <c r="N16" i="16"/>
  <c r="O15" i="16"/>
  <c r="N15" i="16"/>
  <c r="O14" i="16"/>
  <c r="N14" i="16"/>
  <c r="O13" i="16"/>
  <c r="N13" i="16"/>
  <c r="O12" i="16"/>
  <c r="N12" i="16"/>
  <c r="O11" i="16"/>
  <c r="N11" i="16"/>
  <c r="O10" i="16"/>
  <c r="N10" i="16"/>
  <c r="O9" i="16"/>
  <c r="N9" i="16"/>
  <c r="O8" i="16"/>
  <c r="N8" i="16"/>
  <c r="O7" i="16"/>
  <c r="N7" i="16"/>
  <c r="O6" i="16"/>
  <c r="N6" i="16"/>
  <c r="O5" i="16"/>
  <c r="N5" i="16"/>
  <c r="O4" i="16"/>
  <c r="N4" i="16"/>
  <c r="O3" i="16"/>
  <c r="N3" i="16"/>
  <c r="M77" i="16" l="1"/>
  <c r="K77" i="16"/>
  <c r="I77" i="16"/>
  <c r="G77" i="16"/>
  <c r="E77" i="16"/>
  <c r="C77" i="16"/>
  <c r="L78" i="16"/>
  <c r="J78" i="16"/>
  <c r="H78" i="16"/>
  <c r="F78" i="16"/>
  <c r="D78" i="16"/>
  <c r="B78" i="16"/>
  <c r="M79" i="16"/>
  <c r="K79" i="16"/>
  <c r="I79" i="16"/>
  <c r="G79" i="16"/>
  <c r="E79" i="16"/>
  <c r="C79" i="16"/>
  <c r="L80" i="16"/>
  <c r="J80" i="16"/>
  <c r="H80" i="16"/>
  <c r="F80" i="16"/>
  <c r="D80" i="16"/>
  <c r="B80" i="16"/>
  <c r="M81" i="16"/>
  <c r="K81" i="16"/>
  <c r="I81" i="16"/>
  <c r="G81" i="16"/>
  <c r="E81" i="16"/>
  <c r="C81" i="16"/>
  <c r="L82" i="16"/>
  <c r="J82" i="16"/>
  <c r="H82" i="16"/>
  <c r="F82" i="16"/>
  <c r="D82" i="16"/>
  <c r="B82" i="16"/>
  <c r="M83" i="16"/>
  <c r="K83" i="16"/>
  <c r="I83" i="16"/>
  <c r="G83" i="16"/>
  <c r="E83" i="16"/>
  <c r="C83" i="16"/>
  <c r="L84" i="16"/>
  <c r="J84" i="16"/>
  <c r="H84" i="16"/>
  <c r="F84" i="16"/>
  <c r="D84" i="16"/>
  <c r="B84" i="16"/>
  <c r="M85" i="16"/>
  <c r="K85" i="16"/>
  <c r="I85" i="16"/>
  <c r="G85" i="16"/>
  <c r="E85" i="16"/>
  <c r="C85" i="16"/>
  <c r="L85" i="16"/>
  <c r="J85" i="16"/>
  <c r="H85" i="16"/>
  <c r="F85" i="16"/>
  <c r="D85" i="16"/>
  <c r="B85" i="16"/>
  <c r="L86" i="16"/>
  <c r="J86" i="16"/>
  <c r="H86" i="16"/>
  <c r="F86" i="16"/>
  <c r="D86" i="16"/>
  <c r="B86" i="16"/>
  <c r="M86" i="16"/>
  <c r="K86" i="16"/>
  <c r="I86" i="16"/>
  <c r="G86" i="16"/>
  <c r="E86" i="16"/>
  <c r="C86" i="16"/>
  <c r="M87" i="16"/>
  <c r="K87" i="16"/>
  <c r="I87" i="16"/>
  <c r="G87" i="16"/>
  <c r="E87" i="16"/>
  <c r="C87" i="16"/>
  <c r="L87" i="16"/>
  <c r="J87" i="16"/>
  <c r="H87" i="16"/>
  <c r="F87" i="16"/>
  <c r="D87" i="16"/>
  <c r="B87" i="16"/>
  <c r="L90" i="16"/>
  <c r="J90" i="16"/>
  <c r="H90" i="16"/>
  <c r="F90" i="16"/>
  <c r="D90" i="16"/>
  <c r="B90" i="16"/>
  <c r="M90" i="16"/>
  <c r="K90" i="16"/>
  <c r="I90" i="16"/>
  <c r="G90" i="16"/>
  <c r="E90" i="16"/>
  <c r="C90" i="16"/>
  <c r="M91" i="16"/>
  <c r="K91" i="16"/>
  <c r="I91" i="16"/>
  <c r="G91" i="16"/>
  <c r="E91" i="16"/>
  <c r="C91" i="16"/>
  <c r="L91" i="16"/>
  <c r="J91" i="16"/>
  <c r="H91" i="16"/>
  <c r="F91" i="16"/>
  <c r="D91" i="16"/>
  <c r="B91" i="16"/>
  <c r="L92" i="16"/>
  <c r="J92" i="16"/>
  <c r="H92" i="16"/>
  <c r="F92" i="16"/>
  <c r="D92" i="16"/>
  <c r="B92" i="16"/>
  <c r="M92" i="16"/>
  <c r="K92" i="16"/>
  <c r="I92" i="16"/>
  <c r="G92" i="16"/>
  <c r="E92" i="16"/>
  <c r="C92" i="16"/>
  <c r="M93" i="16"/>
  <c r="K93" i="16"/>
  <c r="I93" i="16"/>
  <c r="G93" i="16"/>
  <c r="E93" i="16"/>
  <c r="C93" i="16"/>
  <c r="L93" i="16"/>
  <c r="J93" i="16"/>
  <c r="H93" i="16"/>
  <c r="F93" i="16"/>
  <c r="D93" i="16"/>
  <c r="B93" i="16"/>
  <c r="L94" i="16"/>
  <c r="J94" i="16"/>
  <c r="H94" i="16"/>
  <c r="F94" i="16"/>
  <c r="D94" i="16"/>
  <c r="B94" i="16"/>
  <c r="M94" i="16"/>
  <c r="K94" i="16"/>
  <c r="I94" i="16"/>
  <c r="G94" i="16"/>
  <c r="E94" i="16"/>
  <c r="C94" i="16"/>
  <c r="L98" i="16"/>
  <c r="J98" i="16"/>
  <c r="H98" i="16"/>
  <c r="F98" i="16"/>
  <c r="D98" i="16"/>
  <c r="B98" i="16"/>
  <c r="M98" i="16"/>
  <c r="K98" i="16"/>
  <c r="I98" i="16"/>
  <c r="G98" i="16"/>
  <c r="E98" i="16"/>
  <c r="C98" i="16"/>
  <c r="M99" i="16"/>
  <c r="K99" i="16"/>
  <c r="I99" i="16"/>
  <c r="G99" i="16"/>
  <c r="E99" i="16"/>
  <c r="C99" i="16"/>
  <c r="L99" i="16"/>
  <c r="J99" i="16"/>
  <c r="H99" i="16"/>
  <c r="F99" i="16"/>
  <c r="D99" i="16"/>
  <c r="B99" i="16"/>
  <c r="L103" i="16"/>
  <c r="J103" i="16"/>
  <c r="H103" i="16"/>
  <c r="F103" i="16"/>
  <c r="D103" i="16"/>
  <c r="B103" i="16"/>
  <c r="K103" i="16"/>
  <c r="G103" i="16"/>
  <c r="T103" i="16" s="1"/>
  <c r="C103" i="16"/>
  <c r="M103" i="16"/>
  <c r="I103" i="16"/>
  <c r="V103" i="16" s="1"/>
  <c r="E103" i="16"/>
  <c r="M104" i="16"/>
  <c r="K104" i="16"/>
  <c r="I104" i="16"/>
  <c r="G104" i="16"/>
  <c r="E104" i="16"/>
  <c r="C104" i="16"/>
  <c r="L104" i="16"/>
  <c r="H104" i="16"/>
  <c r="U104" i="16" s="1"/>
  <c r="D104" i="16"/>
  <c r="J104" i="16"/>
  <c r="F104" i="16"/>
  <c r="B104" i="16"/>
  <c r="L105" i="16"/>
  <c r="J105" i="16"/>
  <c r="H105" i="16"/>
  <c r="F105" i="16"/>
  <c r="D105" i="16"/>
  <c r="B105" i="16"/>
  <c r="K105" i="16"/>
  <c r="G105" i="16"/>
  <c r="T105" i="16" s="1"/>
  <c r="C105" i="16"/>
  <c r="M105" i="16"/>
  <c r="I105" i="16"/>
  <c r="V105" i="16" s="1"/>
  <c r="E105" i="16"/>
  <c r="M106" i="16"/>
  <c r="K106" i="16"/>
  <c r="I106" i="16"/>
  <c r="G106" i="16"/>
  <c r="E106" i="16"/>
  <c r="C106" i="16"/>
  <c r="L106" i="16"/>
  <c r="H106" i="16"/>
  <c r="U106" i="16" s="1"/>
  <c r="D106" i="16"/>
  <c r="J106" i="16"/>
  <c r="F106" i="16"/>
  <c r="B106" i="16"/>
  <c r="L107" i="16"/>
  <c r="J107" i="16"/>
  <c r="H107" i="16"/>
  <c r="F107" i="16"/>
  <c r="D107" i="16"/>
  <c r="B107" i="16"/>
  <c r="K107" i="16"/>
  <c r="G107" i="16"/>
  <c r="T107" i="16" s="1"/>
  <c r="C107" i="16"/>
  <c r="M107" i="16"/>
  <c r="I107" i="16"/>
  <c r="V107" i="16" s="1"/>
  <c r="E107" i="16"/>
  <c r="M108" i="16"/>
  <c r="K108" i="16"/>
  <c r="I108" i="16"/>
  <c r="G108" i="16"/>
  <c r="E108" i="16"/>
  <c r="C108" i="16"/>
  <c r="L108" i="16"/>
  <c r="H108" i="16"/>
  <c r="U108" i="16" s="1"/>
  <c r="D108" i="16"/>
  <c r="J108" i="16"/>
  <c r="F108" i="16"/>
  <c r="B108" i="16"/>
  <c r="L109" i="16"/>
  <c r="J109" i="16"/>
  <c r="H109" i="16"/>
  <c r="F109" i="16"/>
  <c r="D109" i="16"/>
  <c r="B109" i="16"/>
  <c r="K109" i="16"/>
  <c r="G109" i="16"/>
  <c r="T109" i="16" s="1"/>
  <c r="C109" i="16"/>
  <c r="M109" i="16"/>
  <c r="I109" i="16"/>
  <c r="V109" i="16" s="1"/>
  <c r="E109" i="16"/>
  <c r="L111" i="16"/>
  <c r="J111" i="16"/>
  <c r="H111" i="16"/>
  <c r="F111" i="16"/>
  <c r="D111" i="16"/>
  <c r="B111" i="16"/>
  <c r="K111" i="16"/>
  <c r="G111" i="16"/>
  <c r="T111" i="16" s="1"/>
  <c r="C111" i="16"/>
  <c r="M111" i="16"/>
  <c r="I111" i="16"/>
  <c r="V111" i="16" s="1"/>
  <c r="E111" i="16"/>
  <c r="M112" i="16"/>
  <c r="K112" i="16"/>
  <c r="I112" i="16"/>
  <c r="G112" i="16"/>
  <c r="E112" i="16"/>
  <c r="C112" i="16"/>
  <c r="L112" i="16"/>
  <c r="H112" i="16"/>
  <c r="U112" i="16" s="1"/>
  <c r="D112" i="16"/>
  <c r="J112" i="16"/>
  <c r="F112" i="16"/>
  <c r="B112" i="16"/>
  <c r="L113" i="16"/>
  <c r="J113" i="16"/>
  <c r="H113" i="16"/>
  <c r="F113" i="16"/>
  <c r="D113" i="16"/>
  <c r="B113" i="16"/>
  <c r="K113" i="16"/>
  <c r="G113" i="16"/>
  <c r="T113" i="16" s="1"/>
  <c r="C113" i="16"/>
  <c r="M113" i="16"/>
  <c r="I113" i="16"/>
  <c r="V113" i="16" s="1"/>
  <c r="E113" i="16"/>
  <c r="M114" i="16"/>
  <c r="K114" i="16"/>
  <c r="I114" i="16"/>
  <c r="G114" i="16"/>
  <c r="E114" i="16"/>
  <c r="C114" i="16"/>
  <c r="L114" i="16"/>
  <c r="H114" i="16"/>
  <c r="U114" i="16" s="1"/>
  <c r="D114" i="16"/>
  <c r="J114" i="16"/>
  <c r="F114" i="16"/>
  <c r="B114" i="16"/>
  <c r="L115" i="16"/>
  <c r="J115" i="16"/>
  <c r="H115" i="16"/>
  <c r="F115" i="16"/>
  <c r="D115" i="16"/>
  <c r="B115" i="16"/>
  <c r="K115" i="16"/>
  <c r="G115" i="16"/>
  <c r="T115" i="16" s="1"/>
  <c r="C115" i="16"/>
  <c r="M115" i="16"/>
  <c r="I115" i="16"/>
  <c r="V115" i="16" s="1"/>
  <c r="E115" i="16"/>
  <c r="M116" i="16"/>
  <c r="K116" i="16"/>
  <c r="I116" i="16"/>
  <c r="G116" i="16"/>
  <c r="E116" i="16"/>
  <c r="C116" i="16"/>
  <c r="L116" i="16"/>
  <c r="H116" i="16"/>
  <c r="U116" i="16" s="1"/>
  <c r="D116" i="16"/>
  <c r="J116" i="16"/>
  <c r="F116" i="16"/>
  <c r="B116" i="16"/>
  <c r="L117" i="16"/>
  <c r="J117" i="16"/>
  <c r="H117" i="16"/>
  <c r="F117" i="16"/>
  <c r="D117" i="16"/>
  <c r="B117" i="16"/>
  <c r="K117" i="16"/>
  <c r="G117" i="16"/>
  <c r="T117" i="16" s="1"/>
  <c r="C117" i="16"/>
  <c r="M117" i="16"/>
  <c r="I117" i="16"/>
  <c r="V117" i="16" s="1"/>
  <c r="E117" i="16"/>
  <c r="M118" i="16"/>
  <c r="K118" i="16"/>
  <c r="I118" i="16"/>
  <c r="G118" i="16"/>
  <c r="E118" i="16"/>
  <c r="C118" i="16"/>
  <c r="L118" i="16"/>
  <c r="H118" i="16"/>
  <c r="U118" i="16" s="1"/>
  <c r="D118" i="16"/>
  <c r="J118" i="16"/>
  <c r="F118" i="16"/>
  <c r="B118" i="16"/>
  <c r="L119" i="16"/>
  <c r="J119" i="16"/>
  <c r="H119" i="16"/>
  <c r="F119" i="16"/>
  <c r="D119" i="16"/>
  <c r="B119" i="16"/>
  <c r="K119" i="16"/>
  <c r="G119" i="16"/>
  <c r="T119" i="16" s="1"/>
  <c r="C119" i="16"/>
  <c r="M119" i="16"/>
  <c r="I119" i="16"/>
  <c r="V119" i="16" s="1"/>
  <c r="E119" i="16"/>
  <c r="M120" i="16"/>
  <c r="K120" i="16"/>
  <c r="I120" i="16"/>
  <c r="G120" i="16"/>
  <c r="E120" i="16"/>
  <c r="C120" i="16"/>
  <c r="L120" i="16"/>
  <c r="H120" i="16"/>
  <c r="U120" i="16" s="1"/>
  <c r="D120" i="16"/>
  <c r="J120" i="16"/>
  <c r="F120" i="16"/>
  <c r="B120" i="16"/>
  <c r="M122" i="16"/>
  <c r="K122" i="16"/>
  <c r="I122" i="16"/>
  <c r="G122" i="16"/>
  <c r="E122" i="16"/>
  <c r="C122" i="16"/>
  <c r="L122" i="16"/>
  <c r="H122" i="16"/>
  <c r="U122" i="16" s="1"/>
  <c r="D122" i="16"/>
  <c r="J122" i="16"/>
  <c r="F122" i="16"/>
  <c r="B122" i="16"/>
  <c r="L123" i="16"/>
  <c r="J123" i="16"/>
  <c r="H123" i="16"/>
  <c r="F123" i="16"/>
  <c r="D123" i="16"/>
  <c r="B123" i="16"/>
  <c r="K123" i="16"/>
  <c r="G123" i="16"/>
  <c r="T123" i="16" s="1"/>
  <c r="C123" i="16"/>
  <c r="M123" i="16"/>
  <c r="I123" i="16"/>
  <c r="V123" i="16" s="1"/>
  <c r="E123" i="16"/>
  <c r="M124" i="16"/>
  <c r="K124" i="16"/>
  <c r="I124" i="16"/>
  <c r="G124" i="16"/>
  <c r="E124" i="16"/>
  <c r="C124" i="16"/>
  <c r="L124" i="16"/>
  <c r="H124" i="16"/>
  <c r="U124" i="16" s="1"/>
  <c r="D124" i="16"/>
  <c r="J124" i="16"/>
  <c r="F124" i="16"/>
  <c r="B124" i="16"/>
  <c r="L125" i="16"/>
  <c r="J125" i="16"/>
  <c r="H125" i="16"/>
  <c r="F125" i="16"/>
  <c r="D125" i="16"/>
  <c r="B125" i="16"/>
  <c r="K125" i="16"/>
  <c r="G125" i="16"/>
  <c r="T125" i="16" s="1"/>
  <c r="C125" i="16"/>
  <c r="M125" i="16"/>
  <c r="I125" i="16"/>
  <c r="V125" i="16" s="1"/>
  <c r="E125" i="16"/>
  <c r="M126" i="16"/>
  <c r="K126" i="16"/>
  <c r="I126" i="16"/>
  <c r="J126" i="16"/>
  <c r="G126" i="16"/>
  <c r="E126" i="16"/>
  <c r="C126" i="16"/>
  <c r="H126" i="16"/>
  <c r="D126" i="16"/>
  <c r="L126" i="16"/>
  <c r="Y126" i="16" s="1"/>
  <c r="F126" i="16"/>
  <c r="B126" i="16"/>
  <c r="M128" i="16"/>
  <c r="K128" i="16"/>
  <c r="I128" i="16"/>
  <c r="G128" i="16"/>
  <c r="E128" i="16"/>
  <c r="C128" i="16"/>
  <c r="J128" i="16"/>
  <c r="W128" i="16" s="1"/>
  <c r="F128" i="16"/>
  <c r="B128" i="16"/>
  <c r="O128" i="16" s="1"/>
  <c r="H128" i="16"/>
  <c r="L128" i="16"/>
  <c r="D128" i="16"/>
  <c r="L129" i="16"/>
  <c r="J129" i="16"/>
  <c r="H129" i="16"/>
  <c r="F129" i="16"/>
  <c r="D129" i="16"/>
  <c r="B129" i="16"/>
  <c r="M129" i="16"/>
  <c r="I129" i="16"/>
  <c r="E129" i="16"/>
  <c r="R129" i="16" s="1"/>
  <c r="K129" i="16"/>
  <c r="X129" i="16" s="1"/>
  <c r="C129" i="16"/>
  <c r="G129" i="16"/>
  <c r="T129" i="16" s="1"/>
  <c r="M130" i="16"/>
  <c r="K130" i="16"/>
  <c r="I130" i="16"/>
  <c r="G130" i="16"/>
  <c r="E130" i="16"/>
  <c r="C130" i="16"/>
  <c r="J130" i="16"/>
  <c r="W130" i="16" s="1"/>
  <c r="F130" i="16"/>
  <c r="B130" i="16"/>
  <c r="O130" i="16" s="1"/>
  <c r="H130" i="16"/>
  <c r="L130" i="16"/>
  <c r="D130" i="16"/>
  <c r="M132" i="16"/>
  <c r="K132" i="16"/>
  <c r="I132" i="16"/>
  <c r="G132" i="16"/>
  <c r="E132" i="16"/>
  <c r="C132" i="16"/>
  <c r="J132" i="16"/>
  <c r="W132" i="16" s="1"/>
  <c r="F132" i="16"/>
  <c r="B132" i="16"/>
  <c r="O132" i="16" s="1"/>
  <c r="H132" i="16"/>
  <c r="L132" i="16"/>
  <c r="D132" i="16"/>
  <c r="L133" i="16"/>
  <c r="J133" i="16"/>
  <c r="H133" i="16"/>
  <c r="F133" i="16"/>
  <c r="D133" i="16"/>
  <c r="B133" i="16"/>
  <c r="M133" i="16"/>
  <c r="I133" i="16"/>
  <c r="E133" i="16"/>
  <c r="R133" i="16" s="1"/>
  <c r="K133" i="16"/>
  <c r="X133" i="16" s="1"/>
  <c r="C133" i="16"/>
  <c r="G133" i="16"/>
  <c r="T133" i="16" s="1"/>
  <c r="M134" i="16"/>
  <c r="K134" i="16"/>
  <c r="I134" i="16"/>
  <c r="G134" i="16"/>
  <c r="E134" i="16"/>
  <c r="C134" i="16"/>
  <c r="J134" i="16"/>
  <c r="W134" i="16" s="1"/>
  <c r="F134" i="16"/>
  <c r="B134" i="16"/>
  <c r="O134" i="16" s="1"/>
  <c r="H134" i="16"/>
  <c r="L134" i="16"/>
  <c r="D134" i="16"/>
  <c r="L135" i="16"/>
  <c r="J135" i="16"/>
  <c r="H135" i="16"/>
  <c r="F135" i="16"/>
  <c r="D135" i="16"/>
  <c r="B135" i="16"/>
  <c r="M135" i="16"/>
  <c r="I135" i="16"/>
  <c r="E135" i="16"/>
  <c r="R135" i="16" s="1"/>
  <c r="K135" i="16"/>
  <c r="X135" i="16" s="1"/>
  <c r="C135" i="16"/>
  <c r="G135" i="16"/>
  <c r="T135" i="16" s="1"/>
  <c r="M136" i="16"/>
  <c r="K136" i="16"/>
  <c r="I136" i="16"/>
  <c r="G136" i="16"/>
  <c r="E136" i="16"/>
  <c r="C136" i="16"/>
  <c r="J136" i="16"/>
  <c r="W136" i="16" s="1"/>
  <c r="F136" i="16"/>
  <c r="B136" i="16"/>
  <c r="O136" i="16" s="1"/>
  <c r="H136" i="16"/>
  <c r="L136" i="16"/>
  <c r="D136" i="16"/>
  <c r="L137" i="16"/>
  <c r="J137" i="16"/>
  <c r="H137" i="16"/>
  <c r="F137" i="16"/>
  <c r="D137" i="16"/>
  <c r="B137" i="16"/>
  <c r="M137" i="16"/>
  <c r="I137" i="16"/>
  <c r="E137" i="16"/>
  <c r="R137" i="16" s="1"/>
  <c r="K137" i="16"/>
  <c r="X137" i="16" s="1"/>
  <c r="C137" i="16"/>
  <c r="G137" i="16"/>
  <c r="T137" i="16" s="1"/>
  <c r="M138" i="16"/>
  <c r="K138" i="16"/>
  <c r="I138" i="16"/>
  <c r="G138" i="16"/>
  <c r="E138" i="16"/>
  <c r="C138" i="16"/>
  <c r="J138" i="16"/>
  <c r="W138" i="16" s="1"/>
  <c r="F138" i="16"/>
  <c r="B138" i="16"/>
  <c r="O138" i="16" s="1"/>
  <c r="H138" i="16"/>
  <c r="L138" i="16"/>
  <c r="D138" i="16"/>
  <c r="L140" i="16"/>
  <c r="J140" i="16"/>
  <c r="H140" i="16"/>
  <c r="F140" i="16"/>
  <c r="D140" i="16"/>
  <c r="B140" i="16"/>
  <c r="K140" i="16"/>
  <c r="G140" i="16"/>
  <c r="T140" i="16" s="1"/>
  <c r="C140" i="16"/>
  <c r="M140" i="16"/>
  <c r="E140" i="16"/>
  <c r="I140" i="16"/>
  <c r="M141" i="16"/>
  <c r="K141" i="16"/>
  <c r="I141" i="16"/>
  <c r="G141" i="16"/>
  <c r="E141" i="16"/>
  <c r="C141" i="16"/>
  <c r="L141" i="16"/>
  <c r="H141" i="16"/>
  <c r="U141" i="16" s="1"/>
  <c r="D141" i="16"/>
  <c r="F141" i="16"/>
  <c r="J141" i="16"/>
  <c r="W141" i="16" s="1"/>
  <c r="B141" i="16"/>
  <c r="L142" i="16"/>
  <c r="J142" i="16"/>
  <c r="H142" i="16"/>
  <c r="F142" i="16"/>
  <c r="D142" i="16"/>
  <c r="B142" i="16"/>
  <c r="K142" i="16"/>
  <c r="G142" i="16"/>
  <c r="T142" i="16" s="1"/>
  <c r="C142" i="16"/>
  <c r="M142" i="16"/>
  <c r="E142" i="16"/>
  <c r="I142" i="16"/>
  <c r="M143" i="16"/>
  <c r="K143" i="16"/>
  <c r="I143" i="16"/>
  <c r="G143" i="16"/>
  <c r="E143" i="16"/>
  <c r="C143" i="16"/>
  <c r="L143" i="16"/>
  <c r="H143" i="16"/>
  <c r="U143" i="16" s="1"/>
  <c r="D143" i="16"/>
  <c r="F143" i="16"/>
  <c r="J143" i="16"/>
  <c r="W143" i="16" s="1"/>
  <c r="B143" i="16"/>
  <c r="L144" i="16"/>
  <c r="J144" i="16"/>
  <c r="H144" i="16"/>
  <c r="F144" i="16"/>
  <c r="D144" i="16"/>
  <c r="B144" i="16"/>
  <c r="K144" i="16"/>
  <c r="G144" i="16"/>
  <c r="T144" i="16" s="1"/>
  <c r="C144" i="16"/>
  <c r="M144" i="16"/>
  <c r="E144" i="16"/>
  <c r="I144" i="16"/>
  <c r="M145" i="16"/>
  <c r="K145" i="16"/>
  <c r="I145" i="16"/>
  <c r="G145" i="16"/>
  <c r="E145" i="16"/>
  <c r="C145" i="16"/>
  <c r="L145" i="16"/>
  <c r="H145" i="16"/>
  <c r="U145" i="16" s="1"/>
  <c r="D145" i="16"/>
  <c r="F145" i="16"/>
  <c r="J145" i="16"/>
  <c r="W145" i="16" s="1"/>
  <c r="B145" i="16"/>
  <c r="L146" i="16"/>
  <c r="J146" i="16"/>
  <c r="H146" i="16"/>
  <c r="F146" i="16"/>
  <c r="D146" i="16"/>
  <c r="B146" i="16"/>
  <c r="K146" i="16"/>
  <c r="G146" i="16"/>
  <c r="T146" i="16" s="1"/>
  <c r="C146" i="16"/>
  <c r="M146" i="16"/>
  <c r="E146" i="16"/>
  <c r="I146" i="16"/>
  <c r="B77" i="16"/>
  <c r="F77" i="16"/>
  <c r="J77" i="16"/>
  <c r="E78" i="16"/>
  <c r="I78" i="16"/>
  <c r="V78" i="16" s="1"/>
  <c r="M78" i="16"/>
  <c r="B79" i="16"/>
  <c r="F79" i="16"/>
  <c r="J79" i="16"/>
  <c r="E80" i="16"/>
  <c r="I80" i="16"/>
  <c r="M80" i="16"/>
  <c r="B81" i="16"/>
  <c r="O81" i="16" s="1"/>
  <c r="F81" i="16"/>
  <c r="J81" i="16"/>
  <c r="W81" i="16" s="1"/>
  <c r="E82" i="16"/>
  <c r="I82" i="16"/>
  <c r="V82" i="16" s="1"/>
  <c r="M82" i="16"/>
  <c r="B83" i="16"/>
  <c r="F83" i="16"/>
  <c r="J83" i="16"/>
  <c r="E84" i="16"/>
  <c r="I84" i="16"/>
  <c r="M84" i="16"/>
  <c r="D77" i="16"/>
  <c r="H77" i="16"/>
  <c r="L77" i="16"/>
  <c r="C78" i="16"/>
  <c r="P78" i="16" s="1"/>
  <c r="G78" i="16"/>
  <c r="K78" i="16"/>
  <c r="D79" i="16"/>
  <c r="H79" i="16"/>
  <c r="U79" i="16" s="1"/>
  <c r="L79" i="16"/>
  <c r="C80" i="16"/>
  <c r="G80" i="16"/>
  <c r="K80" i="16"/>
  <c r="X80" i="16" s="1"/>
  <c r="D81" i="16"/>
  <c r="H81" i="16"/>
  <c r="L81" i="16"/>
  <c r="C82" i="16"/>
  <c r="P82" i="16" s="1"/>
  <c r="G82" i="16"/>
  <c r="K82" i="16"/>
  <c r="D83" i="16"/>
  <c r="H83" i="16"/>
  <c r="U83" i="16" s="1"/>
  <c r="L83" i="16"/>
  <c r="C84" i="16"/>
  <c r="G84" i="16"/>
  <c r="K84" i="16"/>
  <c r="X84" i="16" s="1"/>
  <c r="O77" i="16" l="1"/>
  <c r="Q138" i="16"/>
  <c r="Q136" i="16"/>
  <c r="Q134" i="16"/>
  <c r="Q132" i="16"/>
  <c r="Q130" i="16"/>
  <c r="Q128" i="16"/>
  <c r="T84" i="16"/>
  <c r="Q83" i="16"/>
  <c r="Y81" i="16"/>
  <c r="T80" i="16"/>
  <c r="Q79" i="16"/>
  <c r="Y77" i="16"/>
  <c r="V84" i="16"/>
  <c r="O83" i="16"/>
  <c r="V80" i="16"/>
  <c r="O79" i="16"/>
  <c r="R146" i="16"/>
  <c r="X146" i="16"/>
  <c r="Y145" i="16"/>
  <c r="R144" i="16"/>
  <c r="X144" i="16"/>
  <c r="Y143" i="16"/>
  <c r="R142" i="16"/>
  <c r="X142" i="16"/>
  <c r="Y141" i="16"/>
  <c r="R140" i="16"/>
  <c r="X140" i="16"/>
  <c r="Y138" i="16"/>
  <c r="V138" i="16"/>
  <c r="P137" i="16"/>
  <c r="Z137" i="16"/>
  <c r="Y136" i="16"/>
  <c r="V136" i="16"/>
  <c r="P135" i="16"/>
  <c r="Z135" i="16"/>
  <c r="Y134" i="16"/>
  <c r="V134" i="16"/>
  <c r="P133" i="16"/>
  <c r="Z133" i="16"/>
  <c r="Y132" i="16"/>
  <c r="V132" i="16"/>
  <c r="Y130" i="16"/>
  <c r="V130" i="16"/>
  <c r="P129" i="16"/>
  <c r="Z129" i="16"/>
  <c r="Y128" i="16"/>
  <c r="V128" i="16"/>
  <c r="S126" i="16"/>
  <c r="X125" i="16"/>
  <c r="S124" i="16"/>
  <c r="Y124" i="16"/>
  <c r="X123" i="16"/>
  <c r="S122" i="16"/>
  <c r="Y122" i="16"/>
  <c r="S120" i="16"/>
  <c r="Y120" i="16"/>
  <c r="X119" i="16"/>
  <c r="S118" i="16"/>
  <c r="Y118" i="16"/>
  <c r="X117" i="16"/>
  <c r="S116" i="16"/>
  <c r="Y116" i="16"/>
  <c r="X115" i="16"/>
  <c r="Y114" i="16"/>
  <c r="X113" i="16"/>
  <c r="S112" i="16"/>
  <c r="Y112" i="16"/>
  <c r="X111" i="16"/>
  <c r="X109" i="16"/>
  <c r="S108" i="16"/>
  <c r="Y108" i="16"/>
  <c r="X107" i="16"/>
  <c r="S106" i="16"/>
  <c r="Y106" i="16"/>
  <c r="X105" i="16"/>
  <c r="S104" i="16"/>
  <c r="Y104" i="16"/>
  <c r="X103" i="16"/>
  <c r="Q99" i="16"/>
  <c r="Y99" i="16"/>
  <c r="R98" i="16"/>
  <c r="Z98" i="16"/>
  <c r="U98" i="16"/>
  <c r="R94" i="16"/>
  <c r="Z94" i="16"/>
  <c r="U94" i="16"/>
  <c r="Q93" i="16"/>
  <c r="Y93" i="16"/>
  <c r="R92" i="16"/>
  <c r="Z92" i="16"/>
  <c r="U92" i="16"/>
  <c r="Q91" i="16"/>
  <c r="Y91" i="16"/>
  <c r="R90" i="16"/>
  <c r="Z90" i="16"/>
  <c r="U90" i="16"/>
  <c r="Q87" i="16"/>
  <c r="Y87" i="16"/>
  <c r="R86" i="16"/>
  <c r="Z86" i="16"/>
  <c r="U86" i="16"/>
  <c r="Q85" i="16"/>
  <c r="Y85" i="16"/>
  <c r="Q84" i="16"/>
  <c r="Y82" i="16"/>
  <c r="V81" i="16"/>
  <c r="Q80" i="16"/>
  <c r="Y78" i="16"/>
  <c r="V77" i="16"/>
  <c r="P98" i="16"/>
  <c r="X98" i="16"/>
  <c r="P94" i="16"/>
  <c r="X94" i="16"/>
  <c r="P92" i="16"/>
  <c r="X92" i="16"/>
  <c r="P90" i="16"/>
  <c r="X90" i="16"/>
  <c r="P86" i="16"/>
  <c r="X86" i="16"/>
  <c r="W77" i="16"/>
  <c r="U146" i="16"/>
  <c r="V145" i="16"/>
  <c r="U144" i="16"/>
  <c r="V143" i="16"/>
  <c r="U142" i="16"/>
  <c r="V141" i="16"/>
  <c r="U140" i="16"/>
  <c r="U137" i="16"/>
  <c r="U135" i="16"/>
  <c r="U133" i="16"/>
  <c r="U129" i="16"/>
  <c r="P126" i="16"/>
  <c r="V126" i="16"/>
  <c r="U125" i="16"/>
  <c r="V124" i="16"/>
  <c r="U123" i="16"/>
  <c r="V122" i="16"/>
  <c r="V120" i="16"/>
  <c r="U119" i="16"/>
  <c r="V118" i="16"/>
  <c r="U117" i="16"/>
  <c r="V116" i="16"/>
  <c r="U115" i="16"/>
  <c r="V114" i="16"/>
  <c r="U113" i="16"/>
  <c r="V112" i="16"/>
  <c r="U111" i="16"/>
  <c r="U109" i="16"/>
  <c r="V108" i="16"/>
  <c r="U107" i="16"/>
  <c r="V106" i="16"/>
  <c r="U105" i="16"/>
  <c r="V104" i="16"/>
  <c r="U103" i="16"/>
  <c r="Y84" i="16"/>
  <c r="V83" i="16"/>
  <c r="Q82" i="16"/>
  <c r="Y80" i="16"/>
  <c r="V79" i="16"/>
  <c r="Q78" i="16"/>
  <c r="P84" i="16"/>
  <c r="X82" i="16"/>
  <c r="U81" i="16"/>
  <c r="P80" i="16"/>
  <c r="X78" i="16"/>
  <c r="U77" i="16"/>
  <c r="U138" i="16"/>
  <c r="U136" i="16"/>
  <c r="U134" i="16"/>
  <c r="U132" i="16"/>
  <c r="U130" i="16"/>
  <c r="U128" i="16"/>
  <c r="T98" i="16"/>
  <c r="T94" i="16"/>
  <c r="T92" i="16"/>
  <c r="T90" i="16"/>
  <c r="T86" i="16"/>
  <c r="Y83" i="16"/>
  <c r="T82" i="16"/>
  <c r="Q81" i="16"/>
  <c r="Y79" i="16"/>
  <c r="T78" i="16"/>
  <c r="Q77" i="16"/>
  <c r="W83" i="16"/>
  <c r="W79" i="16"/>
  <c r="P146" i="16"/>
  <c r="Q145" i="16"/>
  <c r="P144" i="16"/>
  <c r="Q143" i="16"/>
  <c r="P142" i="16"/>
  <c r="Q141" i="16"/>
  <c r="P140" i="16"/>
  <c r="R138" i="16"/>
  <c r="Y137" i="16"/>
  <c r="R136" i="16"/>
  <c r="Y135" i="16"/>
  <c r="R134" i="16"/>
  <c r="Y133" i="16"/>
  <c r="R132" i="16"/>
  <c r="R130" i="16"/>
  <c r="Y129" i="16"/>
  <c r="R128" i="16"/>
  <c r="Q126" i="16"/>
  <c r="Z126" i="16"/>
  <c r="P125" i="16"/>
  <c r="Q124" i="16"/>
  <c r="P123" i="16"/>
  <c r="Q122" i="16"/>
  <c r="Q120" i="16"/>
  <c r="P119" i="16"/>
  <c r="Q118" i="16"/>
  <c r="P117" i="16"/>
  <c r="Q116" i="16"/>
  <c r="P115" i="16"/>
  <c r="Q114" i="16"/>
  <c r="R114" i="16"/>
  <c r="P113" i="16"/>
  <c r="Q112" i="16"/>
  <c r="P111" i="16"/>
  <c r="P109" i="16"/>
  <c r="Q108" i="16"/>
  <c r="P107" i="16"/>
  <c r="Q106" i="16"/>
  <c r="P105" i="16"/>
  <c r="Q104" i="16"/>
  <c r="P103" i="16"/>
  <c r="U99" i="16"/>
  <c r="V98" i="16"/>
  <c r="Q98" i="16"/>
  <c r="Y98" i="16"/>
  <c r="V94" i="16"/>
  <c r="Q94" i="16"/>
  <c r="Y94" i="16"/>
  <c r="U93" i="16"/>
  <c r="V92" i="16"/>
  <c r="Q92" i="16"/>
  <c r="Y92" i="16"/>
  <c r="U91" i="16"/>
  <c r="V90" i="16"/>
  <c r="Q90" i="16"/>
  <c r="Y90" i="16"/>
  <c r="U87" i="16"/>
  <c r="V86" i="16"/>
  <c r="Q86" i="16"/>
  <c r="Y86" i="16"/>
  <c r="U85" i="16"/>
  <c r="Q146" i="16"/>
  <c r="Y146" i="16"/>
  <c r="R145" i="16"/>
  <c r="Z145" i="16"/>
  <c r="Q144" i="16"/>
  <c r="Y144" i="16"/>
  <c r="R143" i="16"/>
  <c r="Z143" i="16"/>
  <c r="Q142" i="16"/>
  <c r="Y142" i="16"/>
  <c r="R141" i="16"/>
  <c r="Z141" i="16"/>
  <c r="Q140" i="16"/>
  <c r="Y140" i="16"/>
  <c r="Z138" i="16"/>
  <c r="Q137" i="16"/>
  <c r="Z136" i="16"/>
  <c r="Q135" i="16"/>
  <c r="Z134" i="16"/>
  <c r="Q133" i="16"/>
  <c r="Z132" i="16"/>
  <c r="Z130" i="16"/>
  <c r="Q129" i="16"/>
  <c r="Z128" i="16"/>
  <c r="T126" i="16"/>
  <c r="Q125" i="16"/>
  <c r="Y125" i="16"/>
  <c r="R124" i="16"/>
  <c r="Z124" i="16"/>
  <c r="Q123" i="16"/>
  <c r="Y123" i="16"/>
  <c r="R122" i="16"/>
  <c r="Z122" i="16"/>
  <c r="R120" i="16"/>
  <c r="Z120" i="16"/>
  <c r="Q119" i="16"/>
  <c r="Y119" i="16"/>
  <c r="R118" i="16"/>
  <c r="Z118" i="16"/>
  <c r="Q117" i="16"/>
  <c r="Y117" i="16"/>
  <c r="R116" i="16"/>
  <c r="Z116" i="16"/>
  <c r="Q115" i="16"/>
  <c r="Y115" i="16"/>
  <c r="S114" i="16"/>
  <c r="Z114" i="16"/>
  <c r="Q113" i="16"/>
  <c r="Y113" i="16"/>
  <c r="R112" i="16"/>
  <c r="Z112" i="16"/>
  <c r="Q111" i="16"/>
  <c r="Y111" i="16"/>
  <c r="Q109" i="16"/>
  <c r="Y109" i="16"/>
  <c r="R108" i="16"/>
  <c r="Z108" i="16"/>
  <c r="Q107" i="16"/>
  <c r="Y107" i="16"/>
  <c r="R106" i="16"/>
  <c r="Z106" i="16"/>
  <c r="Q105" i="16"/>
  <c r="Y105" i="16"/>
  <c r="R104" i="16"/>
  <c r="Z104" i="16"/>
  <c r="Q103" i="16"/>
  <c r="Y103" i="16"/>
  <c r="R99" i="16"/>
  <c r="V99" i="16"/>
  <c r="Z99" i="16"/>
  <c r="R93" i="16"/>
  <c r="V93" i="16"/>
  <c r="Z93" i="16"/>
  <c r="R91" i="16"/>
  <c r="V91" i="16"/>
  <c r="Z91" i="16"/>
  <c r="R87" i="16"/>
  <c r="V87" i="16"/>
  <c r="Z87" i="16"/>
  <c r="R85" i="16"/>
  <c r="V85" i="16"/>
  <c r="Z85" i="16"/>
  <c r="U84" i="16"/>
  <c r="R83" i="16"/>
  <c r="Z83" i="16"/>
  <c r="U82" i="16"/>
  <c r="R81" i="16"/>
  <c r="Z81" i="16"/>
  <c r="U80" i="16"/>
  <c r="R79" i="16"/>
  <c r="Z79" i="16"/>
  <c r="U78" i="16"/>
  <c r="R77" i="16"/>
  <c r="Z77" i="16"/>
  <c r="Z84" i="16"/>
  <c r="R84" i="16"/>
  <c r="S83" i="16"/>
  <c r="Z82" i="16"/>
  <c r="R82" i="16"/>
  <c r="S81" i="16"/>
  <c r="Z80" i="16"/>
  <c r="R80" i="16"/>
  <c r="S79" i="16"/>
  <c r="Z78" i="16"/>
  <c r="R78" i="16"/>
  <c r="S77" i="16"/>
  <c r="V146" i="16"/>
  <c r="Z146" i="16"/>
  <c r="O146" i="16"/>
  <c r="S146" i="16"/>
  <c r="W146" i="16"/>
  <c r="O145" i="16"/>
  <c r="S145" i="16"/>
  <c r="P145" i="16"/>
  <c r="T145" i="16"/>
  <c r="X145" i="16"/>
  <c r="V144" i="16"/>
  <c r="Z144" i="16"/>
  <c r="O144" i="16"/>
  <c r="S144" i="16"/>
  <c r="W144" i="16"/>
  <c r="O143" i="16"/>
  <c r="S143" i="16"/>
  <c r="P143" i="16"/>
  <c r="T143" i="16"/>
  <c r="X143" i="16"/>
  <c r="V142" i="16"/>
  <c r="Z142" i="16"/>
  <c r="O142" i="16"/>
  <c r="S142" i="16"/>
  <c r="W142" i="16"/>
  <c r="O141" i="16"/>
  <c r="S141" i="16"/>
  <c r="P141" i="16"/>
  <c r="T141" i="16"/>
  <c r="X141" i="16"/>
  <c r="V140" i="16"/>
  <c r="Z140" i="16"/>
  <c r="O140" i="16"/>
  <c r="S140" i="16"/>
  <c r="W140" i="16"/>
  <c r="S138" i="16"/>
  <c r="P138" i="16"/>
  <c r="T138" i="16"/>
  <c r="X138" i="16"/>
  <c r="V137" i="16"/>
  <c r="O137" i="16"/>
  <c r="S137" i="16"/>
  <c r="W137" i="16"/>
  <c r="S136" i="16"/>
  <c r="P136" i="16"/>
  <c r="T136" i="16"/>
  <c r="X136" i="16"/>
  <c r="V135" i="16"/>
  <c r="O135" i="16"/>
  <c r="S135" i="16"/>
  <c r="W135" i="16"/>
  <c r="S134" i="16"/>
  <c r="P134" i="16"/>
  <c r="T134" i="16"/>
  <c r="X134" i="16"/>
  <c r="V133" i="16"/>
  <c r="O133" i="16"/>
  <c r="S133" i="16"/>
  <c r="W133" i="16"/>
  <c r="S132" i="16"/>
  <c r="P132" i="16"/>
  <c r="T132" i="16"/>
  <c r="X132" i="16"/>
  <c r="S130" i="16"/>
  <c r="P130" i="16"/>
  <c r="T130" i="16"/>
  <c r="X130" i="16"/>
  <c r="V129" i="16"/>
  <c r="O129" i="16"/>
  <c r="S129" i="16"/>
  <c r="W129" i="16"/>
  <c r="S128" i="16"/>
  <c r="P128" i="16"/>
  <c r="T128" i="16"/>
  <c r="X128" i="16"/>
  <c r="O126" i="16"/>
  <c r="U126" i="16"/>
  <c r="R126" i="16"/>
  <c r="W126" i="16"/>
  <c r="X126" i="16"/>
  <c r="R125" i="16"/>
  <c r="Z125" i="16"/>
  <c r="O125" i="16"/>
  <c r="S125" i="16"/>
  <c r="W125" i="16"/>
  <c r="O124" i="16"/>
  <c r="W124" i="16"/>
  <c r="P124" i="16"/>
  <c r="T124" i="16"/>
  <c r="X124" i="16"/>
  <c r="R123" i="16"/>
  <c r="Z123" i="16"/>
  <c r="O123" i="16"/>
  <c r="S123" i="16"/>
  <c r="W123" i="16"/>
  <c r="O122" i="16"/>
  <c r="W122" i="16"/>
  <c r="P122" i="16"/>
  <c r="T122" i="16"/>
  <c r="X122" i="16"/>
  <c r="O120" i="16"/>
  <c r="W120" i="16"/>
  <c r="P120" i="16"/>
  <c r="T120" i="16"/>
  <c r="X120" i="16"/>
  <c r="R119" i="16"/>
  <c r="Z119" i="16"/>
  <c r="O119" i="16"/>
  <c r="S119" i="16"/>
  <c r="W119" i="16"/>
  <c r="O118" i="16"/>
  <c r="W118" i="16"/>
  <c r="P118" i="16"/>
  <c r="T118" i="16"/>
  <c r="X118" i="16"/>
  <c r="R117" i="16"/>
  <c r="Z117" i="16"/>
  <c r="O117" i="16"/>
  <c r="S117" i="16"/>
  <c r="W117" i="16"/>
  <c r="O116" i="16"/>
  <c r="W116" i="16"/>
  <c r="P116" i="16"/>
  <c r="T116" i="16"/>
  <c r="X116" i="16"/>
  <c r="R115" i="16"/>
  <c r="Z115" i="16"/>
  <c r="O115" i="16"/>
  <c r="S115" i="16"/>
  <c r="W115" i="16"/>
  <c r="O114" i="16"/>
  <c r="W114" i="16"/>
  <c r="P114" i="16"/>
  <c r="T114" i="16"/>
  <c r="X114" i="16"/>
  <c r="R113" i="16"/>
  <c r="Z113" i="16"/>
  <c r="O113" i="16"/>
  <c r="S113" i="16"/>
  <c r="W113" i="16"/>
  <c r="O112" i="16"/>
  <c r="W112" i="16"/>
  <c r="P112" i="16"/>
  <c r="T112" i="16"/>
  <c r="X112" i="16"/>
  <c r="R111" i="16"/>
  <c r="Z111" i="16"/>
  <c r="O111" i="16"/>
  <c r="S111" i="16"/>
  <c r="W111" i="16"/>
  <c r="R109" i="16"/>
  <c r="Z109" i="16"/>
  <c r="O109" i="16"/>
  <c r="S109" i="16"/>
  <c r="W109" i="16"/>
  <c r="O108" i="16"/>
  <c r="W108" i="16"/>
  <c r="P108" i="16"/>
  <c r="T108" i="16"/>
  <c r="X108" i="16"/>
  <c r="R107" i="16"/>
  <c r="Z107" i="16"/>
  <c r="O107" i="16"/>
  <c r="S107" i="16"/>
  <c r="W107" i="16"/>
  <c r="O106" i="16"/>
  <c r="W106" i="16"/>
  <c r="P106" i="16"/>
  <c r="T106" i="16"/>
  <c r="X106" i="16"/>
  <c r="R105" i="16"/>
  <c r="Z105" i="16"/>
  <c r="O105" i="16"/>
  <c r="S105" i="16"/>
  <c r="W105" i="16"/>
  <c r="O104" i="16"/>
  <c r="W104" i="16"/>
  <c r="P104" i="16"/>
  <c r="T104" i="16"/>
  <c r="X104" i="16"/>
  <c r="R103" i="16"/>
  <c r="Z103" i="16"/>
  <c r="O103" i="16"/>
  <c r="S103" i="16"/>
  <c r="W103" i="16"/>
  <c r="O99" i="16"/>
  <c r="S99" i="16"/>
  <c r="W99" i="16"/>
  <c r="P99" i="16"/>
  <c r="T99" i="16"/>
  <c r="X99" i="16"/>
  <c r="O98" i="16"/>
  <c r="S98" i="16"/>
  <c r="W98" i="16"/>
  <c r="O94" i="16"/>
  <c r="S94" i="16"/>
  <c r="W94" i="16"/>
  <c r="O93" i="16"/>
  <c r="S93" i="16"/>
  <c r="W93" i="16"/>
  <c r="P93" i="16"/>
  <c r="T93" i="16"/>
  <c r="X93" i="16"/>
  <c r="O92" i="16"/>
  <c r="S92" i="16"/>
  <c r="W92" i="16"/>
  <c r="O91" i="16"/>
  <c r="S91" i="16"/>
  <c r="W91" i="16"/>
  <c r="P91" i="16"/>
  <c r="T91" i="16"/>
  <c r="X91" i="16"/>
  <c r="O90" i="16"/>
  <c r="S90" i="16"/>
  <c r="W90" i="16"/>
  <c r="O87" i="16"/>
  <c r="S87" i="16"/>
  <c r="W87" i="16"/>
  <c r="P87" i="16"/>
  <c r="T87" i="16"/>
  <c r="X87" i="16"/>
  <c r="O86" i="16"/>
  <c r="S86" i="16"/>
  <c r="W86" i="16"/>
  <c r="O85" i="16"/>
  <c r="S85" i="16"/>
  <c r="W85" i="16"/>
  <c r="P85" i="16"/>
  <c r="T85" i="16"/>
  <c r="X85" i="16"/>
  <c r="O84" i="16"/>
  <c r="S84" i="16"/>
  <c r="W84" i="16"/>
  <c r="P83" i="16"/>
  <c r="T83" i="16"/>
  <c r="X83" i="16"/>
  <c r="O82" i="16"/>
  <c r="S82" i="16"/>
  <c r="W82" i="16"/>
  <c r="P81" i="16"/>
  <c r="T81" i="16"/>
  <c r="X81" i="16"/>
  <c r="O80" i="16"/>
  <c r="S80" i="16"/>
  <c r="W80" i="16"/>
  <c r="P79" i="16"/>
  <c r="T79" i="16"/>
  <c r="X79" i="16"/>
  <c r="O78" i="16"/>
  <c r="S78" i="16"/>
  <c r="W78" i="16"/>
  <c r="P77" i="16"/>
  <c r="T77" i="16"/>
  <c r="X77" i="16"/>
  <c r="L33" i="14" l="1"/>
  <c r="M36" i="13"/>
  <c r="M43" i="8"/>
  <c r="J39" i="14" l="1"/>
  <c r="AX38" i="14"/>
  <c r="AW38" i="14"/>
  <c r="AV38" i="14"/>
  <c r="AU38" i="14"/>
  <c r="AT38" i="14"/>
  <c r="AS38" i="14"/>
  <c r="AR38" i="14"/>
  <c r="AQ38" i="14"/>
  <c r="AP38" i="14"/>
  <c r="AO38" i="14"/>
  <c r="AN38" i="14"/>
  <c r="AM38" i="14"/>
  <c r="AL38" i="14"/>
  <c r="AK38" i="14"/>
  <c r="AJ38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K33" i="14"/>
  <c r="J33" i="14" s="1"/>
  <c r="I33" i="14" s="1"/>
  <c r="M32" i="14"/>
  <c r="I39" i="14" s="1"/>
  <c r="L39" i="14" s="1"/>
  <c r="R31" i="14"/>
  <c r="P31" i="14"/>
  <c r="O31" i="14" s="1"/>
  <c r="R30" i="14"/>
  <c r="P30" i="14"/>
  <c r="O30" i="14" s="1"/>
  <c r="R29" i="14"/>
  <c r="P29" i="14"/>
  <c r="O29" i="14" s="1"/>
  <c r="R28" i="14"/>
  <c r="P28" i="14"/>
  <c r="O28" i="14" s="1"/>
  <c r="R27" i="14"/>
  <c r="P27" i="14"/>
  <c r="O27" i="14" s="1"/>
  <c r="R26" i="14"/>
  <c r="P26" i="14"/>
  <c r="O26" i="14" s="1"/>
  <c r="R25" i="14"/>
  <c r="P25" i="14"/>
  <c r="O25" i="14" s="1"/>
  <c r="R24" i="14"/>
  <c r="P24" i="14"/>
  <c r="O24" i="14" s="1"/>
  <c r="R23" i="14"/>
  <c r="P23" i="14"/>
  <c r="O23" i="14" s="1"/>
  <c r="R22" i="14"/>
  <c r="P22" i="14"/>
  <c r="O22" i="14" s="1"/>
  <c r="R21" i="14"/>
  <c r="P21" i="14"/>
  <c r="O21" i="14" s="1"/>
  <c r="R20" i="14"/>
  <c r="P20" i="14"/>
  <c r="O20" i="14" s="1"/>
  <c r="R19" i="14"/>
  <c r="P19" i="14"/>
  <c r="O19" i="14" s="1"/>
  <c r="R18" i="14"/>
  <c r="P18" i="14"/>
  <c r="O18" i="14" s="1"/>
  <c r="R17" i="14"/>
  <c r="P17" i="14"/>
  <c r="O17" i="14" s="1"/>
  <c r="R16" i="14"/>
  <c r="P16" i="14"/>
  <c r="O16" i="14" s="1"/>
  <c r="R15" i="14"/>
  <c r="P15" i="14"/>
  <c r="O15" i="14" s="1"/>
  <c r="R14" i="14"/>
  <c r="P14" i="14"/>
  <c r="O14" i="14" s="1"/>
  <c r="R13" i="14"/>
  <c r="P13" i="14"/>
  <c r="O13" i="14" s="1"/>
  <c r="R12" i="14"/>
  <c r="P12" i="14"/>
  <c r="O12" i="14" s="1"/>
  <c r="R11" i="14"/>
  <c r="P11" i="14"/>
  <c r="O11" i="14" s="1"/>
  <c r="R10" i="14"/>
  <c r="P10" i="14"/>
  <c r="O10" i="14" s="1"/>
  <c r="R9" i="14"/>
  <c r="P9" i="14"/>
  <c r="O9" i="14" s="1"/>
  <c r="R8" i="14"/>
  <c r="P8" i="14"/>
  <c r="K16" i="12"/>
  <c r="L16" i="12" s="1"/>
  <c r="P16" i="12"/>
  <c r="R16" i="12"/>
  <c r="K42" i="13"/>
  <c r="AY41" i="13"/>
  <c r="AX41" i="13"/>
  <c r="AW41" i="13"/>
  <c r="AV41" i="13"/>
  <c r="AU41" i="13"/>
  <c r="AT41" i="13"/>
  <c r="AS41" i="13"/>
  <c r="AR41" i="13"/>
  <c r="AQ41" i="13"/>
  <c r="AP41" i="13"/>
  <c r="AO41" i="13"/>
  <c r="AN41" i="13"/>
  <c r="AM41" i="13"/>
  <c r="AL41" i="13"/>
  <c r="AK41" i="13"/>
  <c r="AJ41" i="13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L36" i="13"/>
  <c r="K36" i="13" s="1"/>
  <c r="J36" i="13" s="1"/>
  <c r="N35" i="13"/>
  <c r="J42" i="13" s="1"/>
  <c r="S34" i="13"/>
  <c r="Q34" i="13"/>
  <c r="P34" i="13" s="1"/>
  <c r="S33" i="13"/>
  <c r="Q33" i="13"/>
  <c r="P33" i="13" s="1"/>
  <c r="S32" i="13"/>
  <c r="Q32" i="13"/>
  <c r="P32" i="13" s="1"/>
  <c r="S31" i="13"/>
  <c r="Q31" i="13"/>
  <c r="P31" i="13" s="1"/>
  <c r="S30" i="13"/>
  <c r="Q30" i="13"/>
  <c r="P30" i="13" s="1"/>
  <c r="S29" i="13"/>
  <c r="Q29" i="13"/>
  <c r="P29" i="13" s="1"/>
  <c r="S28" i="13"/>
  <c r="Q28" i="13"/>
  <c r="P28" i="13" s="1"/>
  <c r="S27" i="13"/>
  <c r="Q27" i="13"/>
  <c r="P27" i="13" s="1"/>
  <c r="S26" i="13"/>
  <c r="Q26" i="13"/>
  <c r="P26" i="13" s="1"/>
  <c r="S25" i="13"/>
  <c r="Q25" i="13"/>
  <c r="P25" i="13" s="1"/>
  <c r="S24" i="13"/>
  <c r="Q24" i="13"/>
  <c r="P24" i="13" s="1"/>
  <c r="S23" i="13"/>
  <c r="Q23" i="13"/>
  <c r="P23" i="13" s="1"/>
  <c r="S22" i="13"/>
  <c r="Q22" i="13"/>
  <c r="P22" i="13" s="1"/>
  <c r="S21" i="13"/>
  <c r="Q21" i="13"/>
  <c r="P21" i="13" s="1"/>
  <c r="S20" i="13"/>
  <c r="Q20" i="13"/>
  <c r="P20" i="13" s="1"/>
  <c r="S19" i="13"/>
  <c r="Q19" i="13"/>
  <c r="P19" i="13" s="1"/>
  <c r="S18" i="13"/>
  <c r="Q18" i="13"/>
  <c r="P18" i="13" s="1"/>
  <c r="S17" i="13"/>
  <c r="Q17" i="13"/>
  <c r="P17" i="13" s="1"/>
  <c r="S16" i="13"/>
  <c r="Q16" i="13"/>
  <c r="P16" i="13" s="1"/>
  <c r="S15" i="13"/>
  <c r="Q15" i="13"/>
  <c r="P15" i="13" s="1"/>
  <c r="S14" i="13"/>
  <c r="Q14" i="13"/>
  <c r="P14" i="13" s="1"/>
  <c r="S13" i="13"/>
  <c r="Q13" i="13"/>
  <c r="P13" i="13" s="1"/>
  <c r="S12" i="13"/>
  <c r="Q12" i="13"/>
  <c r="P12" i="13" s="1"/>
  <c r="S11" i="13"/>
  <c r="Q11" i="13"/>
  <c r="P11" i="13" s="1"/>
  <c r="S10" i="13"/>
  <c r="Q10" i="13"/>
  <c r="P10" i="13" s="1"/>
  <c r="S9" i="13"/>
  <c r="Q9" i="13"/>
  <c r="P9" i="13" s="1"/>
  <c r="S8" i="13"/>
  <c r="Q8" i="13"/>
  <c r="AX31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L26" i="12"/>
  <c r="K26" i="12" s="1"/>
  <c r="J26" i="12" s="1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N25" i="12"/>
  <c r="R24" i="12"/>
  <c r="P24" i="12"/>
  <c r="R23" i="12"/>
  <c r="P23" i="12"/>
  <c r="K23" i="12"/>
  <c r="L23" i="12" s="1"/>
  <c r="R22" i="12"/>
  <c r="P22" i="12"/>
  <c r="R21" i="12"/>
  <c r="P21" i="12"/>
  <c r="R20" i="12"/>
  <c r="P20" i="12"/>
  <c r="R19" i="12"/>
  <c r="P19" i="12"/>
  <c r="O19" i="12"/>
  <c r="R18" i="12"/>
  <c r="P18" i="12"/>
  <c r="R17" i="12"/>
  <c r="P17" i="12"/>
  <c r="R15" i="12"/>
  <c r="P15" i="12"/>
  <c r="O15" i="12"/>
  <c r="R14" i="12"/>
  <c r="P14" i="12"/>
  <c r="R13" i="12"/>
  <c r="P13" i="12"/>
  <c r="R12" i="12"/>
  <c r="P12" i="12"/>
  <c r="R11" i="12"/>
  <c r="P11" i="12"/>
  <c r="O11" i="12"/>
  <c r="R10" i="12"/>
  <c r="S10" i="12" s="1"/>
  <c r="P10" i="12"/>
  <c r="R9" i="12"/>
  <c r="P9" i="12"/>
  <c r="O9" i="12"/>
  <c r="R8" i="12"/>
  <c r="P8" i="12"/>
  <c r="S25" i="14" l="1"/>
  <c r="AZ25" i="12"/>
  <c r="BA25" i="12"/>
  <c r="AZ31" i="12"/>
  <c r="AZ38" i="14"/>
  <c r="BA41" i="13"/>
  <c r="T26" i="13"/>
  <c r="S29" i="14"/>
  <c r="K18" i="13"/>
  <c r="L18" i="13" s="1"/>
  <c r="S14" i="12"/>
  <c r="O24" i="12"/>
  <c r="S30" i="14"/>
  <c r="S13" i="12"/>
  <c r="S18" i="12"/>
  <c r="S22" i="12"/>
  <c r="K33" i="13"/>
  <c r="L33" i="13" s="1"/>
  <c r="S13" i="14"/>
  <c r="S21" i="14"/>
  <c r="S17" i="14"/>
  <c r="S11" i="14"/>
  <c r="S19" i="14"/>
  <c r="S27" i="14"/>
  <c r="S8" i="14"/>
  <c r="S15" i="14"/>
  <c r="S23" i="14"/>
  <c r="S9" i="14"/>
  <c r="I9" i="14"/>
  <c r="AX35" i="14"/>
  <c r="AX36" i="14" s="1"/>
  <c r="AT35" i="14"/>
  <c r="AT36" i="14" s="1"/>
  <c r="AP35" i="14"/>
  <c r="AP36" i="14" s="1"/>
  <c r="AL35" i="14"/>
  <c r="AL36" i="14" s="1"/>
  <c r="AH35" i="14"/>
  <c r="AH36" i="14" s="1"/>
  <c r="AD35" i="14"/>
  <c r="AD36" i="14" s="1"/>
  <c r="Z35" i="14"/>
  <c r="Z36" i="14" s="1"/>
  <c r="V35" i="14"/>
  <c r="V36" i="14" s="1"/>
  <c r="AW35" i="14"/>
  <c r="AW36" i="14" s="1"/>
  <c r="AS35" i="14"/>
  <c r="AS36" i="14" s="1"/>
  <c r="AY35" i="14"/>
  <c r="AY36" i="14" s="1"/>
  <c r="AU35" i="14"/>
  <c r="AU36" i="14" s="1"/>
  <c r="AQ35" i="14"/>
  <c r="AQ36" i="14" s="1"/>
  <c r="AM35" i="14"/>
  <c r="AM36" i="14" s="1"/>
  <c r="AI35" i="14"/>
  <c r="AI36" i="14" s="1"/>
  <c r="AE35" i="14"/>
  <c r="AE36" i="14" s="1"/>
  <c r="AA35" i="14"/>
  <c r="AA36" i="14" s="1"/>
  <c r="W35" i="14"/>
  <c r="W36" i="14" s="1"/>
  <c r="AN35" i="14"/>
  <c r="AN36" i="14" s="1"/>
  <c r="AF35" i="14"/>
  <c r="AF36" i="14" s="1"/>
  <c r="X35" i="14"/>
  <c r="X36" i="14" s="1"/>
  <c r="AV35" i="14"/>
  <c r="AV36" i="14" s="1"/>
  <c r="AK35" i="14"/>
  <c r="AK36" i="14" s="1"/>
  <c r="AC35" i="14"/>
  <c r="AC36" i="14" s="1"/>
  <c r="U35" i="14"/>
  <c r="AR35" i="14"/>
  <c r="AR36" i="14" s="1"/>
  <c r="AJ35" i="14"/>
  <c r="AJ36" i="14" s="1"/>
  <c r="AB35" i="14"/>
  <c r="AB36" i="14" s="1"/>
  <c r="O8" i="14"/>
  <c r="AO35" i="14"/>
  <c r="AO36" i="14" s="1"/>
  <c r="AG35" i="14"/>
  <c r="AG36" i="14" s="1"/>
  <c r="Y35" i="14"/>
  <c r="Y36" i="14" s="1"/>
  <c r="S10" i="14"/>
  <c r="I10" i="14"/>
  <c r="I11" i="14"/>
  <c r="S12" i="14"/>
  <c r="I12" i="14"/>
  <c r="S14" i="14"/>
  <c r="I14" i="14"/>
  <c r="I15" i="14"/>
  <c r="S16" i="14"/>
  <c r="I16" i="14"/>
  <c r="I17" i="14"/>
  <c r="S18" i="14"/>
  <c r="I18" i="14"/>
  <c r="I19" i="14"/>
  <c r="S20" i="14"/>
  <c r="I20" i="14"/>
  <c r="I21" i="14"/>
  <c r="S22" i="14"/>
  <c r="I22" i="14"/>
  <c r="I23" i="14"/>
  <c r="S24" i="14"/>
  <c r="I24" i="14"/>
  <c r="I25" i="14"/>
  <c r="S26" i="14"/>
  <c r="I26" i="14"/>
  <c r="I27" i="14"/>
  <c r="S28" i="14"/>
  <c r="I28" i="14"/>
  <c r="I29" i="14"/>
  <c r="I30" i="14"/>
  <c r="S31" i="14"/>
  <c r="I31" i="14"/>
  <c r="I8" i="14"/>
  <c r="S8" i="12"/>
  <c r="W28" i="12"/>
  <c r="W29" i="12" s="1"/>
  <c r="S24" i="12"/>
  <c r="S16" i="12"/>
  <c r="O16" i="12"/>
  <c r="AG28" i="12"/>
  <c r="AG29" i="12" s="1"/>
  <c r="AS28" i="12"/>
  <c r="AS29" i="12" s="1"/>
  <c r="AS30" i="12" s="1"/>
  <c r="AC28" i="12"/>
  <c r="AC29" i="12" s="1"/>
  <c r="AC30" i="12" s="1"/>
  <c r="S20" i="12"/>
  <c r="AX28" i="12"/>
  <c r="AX29" i="12" s="1"/>
  <c r="AX30" i="12" s="1"/>
  <c r="AT28" i="12"/>
  <c r="AT29" i="12" s="1"/>
  <c r="AP28" i="12"/>
  <c r="AP29" i="12" s="1"/>
  <c r="AL28" i="12"/>
  <c r="AL29" i="12" s="1"/>
  <c r="AH28" i="12"/>
  <c r="AH29" i="12" s="1"/>
  <c r="AH30" i="12" s="1"/>
  <c r="AD28" i="12"/>
  <c r="AD29" i="12" s="1"/>
  <c r="Z28" i="12"/>
  <c r="Z29" i="12" s="1"/>
  <c r="V28" i="12"/>
  <c r="V29" i="12" s="1"/>
  <c r="AW28" i="12"/>
  <c r="AW29" i="12" s="1"/>
  <c r="AW30" i="12" s="1"/>
  <c r="AK28" i="12"/>
  <c r="AK29" i="12" s="1"/>
  <c r="Y28" i="12"/>
  <c r="Y29" i="12" s="1"/>
  <c r="O8" i="12"/>
  <c r="U28" i="12"/>
  <c r="AV28" i="12"/>
  <c r="AV29" i="12" s="1"/>
  <c r="AV30" i="12" s="1"/>
  <c r="AR28" i="12"/>
  <c r="AR29" i="12" s="1"/>
  <c r="AN28" i="12"/>
  <c r="AN29" i="12" s="1"/>
  <c r="AN30" i="12" s="1"/>
  <c r="AJ28" i="12"/>
  <c r="AJ29" i="12" s="1"/>
  <c r="AJ30" i="12" s="1"/>
  <c r="AF28" i="12"/>
  <c r="AF29" i="12" s="1"/>
  <c r="AF30" i="12" s="1"/>
  <c r="AB28" i="12"/>
  <c r="AB29" i="12" s="1"/>
  <c r="X28" i="12"/>
  <c r="X29" i="12" s="1"/>
  <c r="X30" i="12" s="1"/>
  <c r="AO28" i="12"/>
  <c r="AO29" i="12" s="1"/>
  <c r="S12" i="12"/>
  <c r="O12" i="12"/>
  <c r="S17" i="12"/>
  <c r="S21" i="12"/>
  <c r="AY28" i="12"/>
  <c r="AY29" i="12" s="1"/>
  <c r="AU28" i="12"/>
  <c r="AU29" i="12" s="1"/>
  <c r="AQ28" i="12"/>
  <c r="AQ29" i="12" s="1"/>
  <c r="AM28" i="12"/>
  <c r="AI28" i="12"/>
  <c r="AI29" i="12" s="1"/>
  <c r="AE28" i="12"/>
  <c r="AE29" i="12" s="1"/>
  <c r="AA28" i="12"/>
  <c r="AA29" i="12" s="1"/>
  <c r="O10" i="12"/>
  <c r="O18" i="12"/>
  <c r="O14" i="12"/>
  <c r="O22" i="12"/>
  <c r="O20" i="12"/>
  <c r="Z38" i="13"/>
  <c r="Z39" i="13" s="1"/>
  <c r="Z40" i="13" s="1"/>
  <c r="T22" i="13"/>
  <c r="AX38" i="13"/>
  <c r="AX39" i="13" s="1"/>
  <c r="AT38" i="13"/>
  <c r="AT39" i="13" s="1"/>
  <c r="AP38" i="13"/>
  <c r="AP39" i="13" s="1"/>
  <c r="AP40" i="13" s="1"/>
  <c r="AL38" i="13"/>
  <c r="AL39" i="13" s="1"/>
  <c r="AL40" i="13" s="1"/>
  <c r="AH38" i="13"/>
  <c r="AH39" i="13" s="1"/>
  <c r="AD38" i="13"/>
  <c r="AD39" i="13" s="1"/>
  <c r="AD40" i="13" s="1"/>
  <c r="Y38" i="13"/>
  <c r="Y39" i="13" s="1"/>
  <c r="V38" i="13"/>
  <c r="AW38" i="13"/>
  <c r="AW39" i="13" s="1"/>
  <c r="AS38" i="13"/>
  <c r="AS39" i="13" s="1"/>
  <c r="AO38" i="13"/>
  <c r="AO39" i="13" s="1"/>
  <c r="AK38" i="13"/>
  <c r="AK39" i="13" s="1"/>
  <c r="AG38" i="13"/>
  <c r="AG39" i="13" s="1"/>
  <c r="AC38" i="13"/>
  <c r="AC39" i="13" s="1"/>
  <c r="X38" i="13"/>
  <c r="X39" i="13" s="1"/>
  <c r="W38" i="13"/>
  <c r="W39" i="13" s="1"/>
  <c r="AZ38" i="13"/>
  <c r="AZ39" i="13" s="1"/>
  <c r="AV38" i="13"/>
  <c r="AV39" i="13" s="1"/>
  <c r="AR38" i="13"/>
  <c r="AR39" i="13" s="1"/>
  <c r="AN38" i="13"/>
  <c r="AN39" i="13" s="1"/>
  <c r="AJ38" i="13"/>
  <c r="AJ39" i="13" s="1"/>
  <c r="AF38" i="13"/>
  <c r="AF39" i="13" s="1"/>
  <c r="AB38" i="13"/>
  <c r="AB39" i="13" s="1"/>
  <c r="AY38" i="13"/>
  <c r="AY39" i="13" s="1"/>
  <c r="AY36" i="13" s="1"/>
  <c r="AU38" i="13"/>
  <c r="AU39" i="13" s="1"/>
  <c r="AQ38" i="13"/>
  <c r="AQ39" i="13" s="1"/>
  <c r="AM38" i="13"/>
  <c r="AM39" i="13" s="1"/>
  <c r="AI38" i="13"/>
  <c r="AI39" i="13" s="1"/>
  <c r="AE38" i="13"/>
  <c r="AE39" i="13" s="1"/>
  <c r="AA38" i="13"/>
  <c r="AA39" i="13" s="1"/>
  <c r="T12" i="13"/>
  <c r="T33" i="13"/>
  <c r="T10" i="13"/>
  <c r="T28" i="13"/>
  <c r="T32" i="13"/>
  <c r="T18" i="13"/>
  <c r="T8" i="13"/>
  <c r="T16" i="13"/>
  <c r="K26" i="13"/>
  <c r="L26" i="13" s="1"/>
  <c r="T30" i="13"/>
  <c r="T14" i="13"/>
  <c r="T20" i="13"/>
  <c r="T24" i="13"/>
  <c r="K32" i="13"/>
  <c r="L32" i="13" s="1"/>
  <c r="K30" i="13"/>
  <c r="L30" i="13" s="1"/>
  <c r="K22" i="13"/>
  <c r="L22" i="13" s="1"/>
  <c r="K8" i="13"/>
  <c r="L8" i="13" s="1"/>
  <c r="O20" i="13"/>
  <c r="K28" i="13"/>
  <c r="L28" i="13" s="1"/>
  <c r="K24" i="13"/>
  <c r="L24" i="13" s="1"/>
  <c r="O9" i="13"/>
  <c r="K9" i="13"/>
  <c r="L9" i="13" s="1"/>
  <c r="K13" i="13"/>
  <c r="L13" i="13" s="1"/>
  <c r="O13" i="13"/>
  <c r="O11" i="13"/>
  <c r="K11" i="13"/>
  <c r="L11" i="13" s="1"/>
  <c r="K15" i="13"/>
  <c r="L15" i="13" s="1"/>
  <c r="O15" i="13"/>
  <c r="M42" i="13"/>
  <c r="M43" i="13" s="1"/>
  <c r="T17" i="13"/>
  <c r="T21" i="13"/>
  <c r="T23" i="13"/>
  <c r="T27" i="13"/>
  <c r="T31" i="13"/>
  <c r="T34" i="13"/>
  <c r="T9" i="13"/>
  <c r="T15" i="13"/>
  <c r="T29" i="13"/>
  <c r="T11" i="13"/>
  <c r="T13" i="13"/>
  <c r="P8" i="13"/>
  <c r="T19" i="13"/>
  <c r="T25" i="13"/>
  <c r="M32" i="12"/>
  <c r="M33" i="12" s="1"/>
  <c r="L9" i="12"/>
  <c r="L11" i="12"/>
  <c r="S11" i="12"/>
  <c r="K13" i="12"/>
  <c r="L13" i="12" s="1"/>
  <c r="K15" i="12"/>
  <c r="L15" i="12" s="1"/>
  <c r="S15" i="12"/>
  <c r="K17" i="12"/>
  <c r="L17" i="12" s="1"/>
  <c r="K19" i="12"/>
  <c r="L19" i="12" s="1"/>
  <c r="S19" i="12"/>
  <c r="K21" i="12"/>
  <c r="L21" i="12" s="1"/>
  <c r="O13" i="12"/>
  <c r="O17" i="12"/>
  <c r="O21" i="12"/>
  <c r="O23" i="12"/>
  <c r="L8" i="12"/>
  <c r="L10" i="12"/>
  <c r="K12" i="12"/>
  <c r="L12" i="12" s="1"/>
  <c r="K14" i="12"/>
  <c r="L14" i="12" s="1"/>
  <c r="K18" i="12"/>
  <c r="L18" i="12" s="1"/>
  <c r="K20" i="12"/>
  <c r="L20" i="12" s="1"/>
  <c r="K22" i="12"/>
  <c r="L22" i="12" s="1"/>
  <c r="K24" i="12"/>
  <c r="L24" i="12" s="1"/>
  <c r="S23" i="12"/>
  <c r="S9" i="12"/>
  <c r="Q9" i="8"/>
  <c r="P9" i="8" s="1"/>
  <c r="S9" i="8"/>
  <c r="Q10" i="8"/>
  <c r="P10" i="8" s="1"/>
  <c r="S10" i="8"/>
  <c r="Q11" i="8"/>
  <c r="P11" i="8" s="1"/>
  <c r="S11" i="8"/>
  <c r="Q12" i="8"/>
  <c r="P12" i="8" s="1"/>
  <c r="S12" i="8"/>
  <c r="Q13" i="8"/>
  <c r="P13" i="8" s="1"/>
  <c r="S13" i="8"/>
  <c r="Q14" i="8"/>
  <c r="P14" i="8" s="1"/>
  <c r="S14" i="8"/>
  <c r="Q15" i="8"/>
  <c r="P15" i="8" s="1"/>
  <c r="S15" i="8"/>
  <c r="Q16" i="8"/>
  <c r="P16" i="8" s="1"/>
  <c r="S16" i="8"/>
  <c r="Q17" i="8"/>
  <c r="P17" i="8" s="1"/>
  <c r="S17" i="8"/>
  <c r="Q18" i="8"/>
  <c r="P18" i="8" s="1"/>
  <c r="S18" i="8"/>
  <c r="Q19" i="8"/>
  <c r="P19" i="8" s="1"/>
  <c r="S19" i="8"/>
  <c r="Q20" i="8"/>
  <c r="P20" i="8" s="1"/>
  <c r="S20" i="8"/>
  <c r="Q21" i="8"/>
  <c r="P21" i="8" s="1"/>
  <c r="S21" i="8"/>
  <c r="Q22" i="8"/>
  <c r="P22" i="8" s="1"/>
  <c r="S22" i="8"/>
  <c r="Q23" i="8"/>
  <c r="P23" i="8" s="1"/>
  <c r="S23" i="8"/>
  <c r="Q24" i="8"/>
  <c r="P24" i="8" s="1"/>
  <c r="S24" i="8"/>
  <c r="Q25" i="8"/>
  <c r="P25" i="8" s="1"/>
  <c r="S25" i="8"/>
  <c r="Q26" i="8"/>
  <c r="P26" i="8" s="1"/>
  <c r="S26" i="8"/>
  <c r="Q27" i="8"/>
  <c r="P27" i="8" s="1"/>
  <c r="S27" i="8"/>
  <c r="Q28" i="8"/>
  <c r="P28" i="8" s="1"/>
  <c r="S28" i="8"/>
  <c r="Q29" i="8"/>
  <c r="P29" i="8" s="1"/>
  <c r="S29" i="8"/>
  <c r="Q30" i="8"/>
  <c r="P30" i="8" s="1"/>
  <c r="S30" i="8"/>
  <c r="Q31" i="8"/>
  <c r="P31" i="8" s="1"/>
  <c r="S31" i="8"/>
  <c r="Q32" i="8"/>
  <c r="P32" i="8" s="1"/>
  <c r="S32" i="8"/>
  <c r="Q33" i="8"/>
  <c r="P33" i="8" s="1"/>
  <c r="S33" i="8"/>
  <c r="Q34" i="8"/>
  <c r="P34" i="8" s="1"/>
  <c r="S34" i="8"/>
  <c r="Q35" i="8"/>
  <c r="P35" i="8" s="1"/>
  <c r="S35" i="8"/>
  <c r="Q36" i="8"/>
  <c r="P36" i="8" s="1"/>
  <c r="S36" i="8"/>
  <c r="Q37" i="8"/>
  <c r="P37" i="8" s="1"/>
  <c r="S37" i="8"/>
  <c r="Q38" i="8"/>
  <c r="P38" i="8" s="1"/>
  <c r="S38" i="8"/>
  <c r="Q39" i="8"/>
  <c r="P39" i="8" s="1"/>
  <c r="S39" i="8"/>
  <c r="Q40" i="8"/>
  <c r="P40" i="8" s="1"/>
  <c r="S40" i="8"/>
  <c r="Q41" i="8"/>
  <c r="P41" i="8" s="1"/>
  <c r="S41" i="8"/>
  <c r="Q8" i="8"/>
  <c r="S8" i="8"/>
  <c r="J17" i="8"/>
  <c r="N8" i="1"/>
  <c r="AM29" i="12" l="1"/>
  <c r="AM26" i="12" s="1"/>
  <c r="AZ28" i="12"/>
  <c r="U29" i="12"/>
  <c r="AC26" i="12"/>
  <c r="U36" i="14"/>
  <c r="AZ36" i="14" s="1"/>
  <c r="AZ35" i="14"/>
  <c r="V39" i="13"/>
  <c r="BA38" i="13"/>
  <c r="AH26" i="12"/>
  <c r="O33" i="13"/>
  <c r="O18" i="13"/>
  <c r="O32" i="13"/>
  <c r="O22" i="13"/>
  <c r="K20" i="13"/>
  <c r="L20" i="13" s="1"/>
  <c r="O30" i="13"/>
  <c r="O24" i="13"/>
  <c r="X45" i="8"/>
  <c r="Z45" i="8"/>
  <c r="AB45" i="8"/>
  <c r="AD45" i="8"/>
  <c r="AF45" i="8"/>
  <c r="AH45" i="8"/>
  <c r="AJ45" i="8"/>
  <c r="AL45" i="8"/>
  <c r="AN45" i="8"/>
  <c r="AP45" i="8"/>
  <c r="AR45" i="8"/>
  <c r="AT45" i="8"/>
  <c r="AV45" i="8"/>
  <c r="AX45" i="8"/>
  <c r="AZ45" i="8"/>
  <c r="W45" i="8"/>
  <c r="Y45" i="8"/>
  <c r="AA45" i="8"/>
  <c r="AC45" i="8"/>
  <c r="AE45" i="8"/>
  <c r="AG45" i="8"/>
  <c r="AI45" i="8"/>
  <c r="AK45" i="8"/>
  <c r="AM45" i="8"/>
  <c r="AO45" i="8"/>
  <c r="AQ45" i="8"/>
  <c r="AS45" i="8"/>
  <c r="AU45" i="8"/>
  <c r="AW45" i="8"/>
  <c r="AY45" i="8"/>
  <c r="V45" i="8"/>
  <c r="P8" i="8"/>
  <c r="L40" i="14"/>
  <c r="N30" i="14"/>
  <c r="J30" i="14"/>
  <c r="K30" i="14" s="1"/>
  <c r="J25" i="14"/>
  <c r="K25" i="14" s="1"/>
  <c r="N25" i="14"/>
  <c r="N22" i="14"/>
  <c r="J22" i="14"/>
  <c r="K22" i="14" s="1"/>
  <c r="J17" i="14"/>
  <c r="K17" i="14" s="1"/>
  <c r="N17" i="14"/>
  <c r="N14" i="14"/>
  <c r="J14" i="14"/>
  <c r="K14" i="14" s="1"/>
  <c r="AF37" i="14"/>
  <c r="AF33" i="14"/>
  <c r="AU37" i="14"/>
  <c r="AU33" i="14"/>
  <c r="I32" i="14"/>
  <c r="J32" i="14" s="1"/>
  <c r="K32" i="14" s="1"/>
  <c r="N8" i="14"/>
  <c r="J8" i="14"/>
  <c r="K8" i="14" s="1"/>
  <c r="J27" i="14"/>
  <c r="K27" i="14" s="1"/>
  <c r="N27" i="14"/>
  <c r="AJ37" i="14"/>
  <c r="AJ33" i="14"/>
  <c r="J29" i="14"/>
  <c r="K29" i="14" s="1"/>
  <c r="N29" i="14"/>
  <c r="N26" i="14"/>
  <c r="J26" i="14"/>
  <c r="K26" i="14" s="1"/>
  <c r="J21" i="14"/>
  <c r="K21" i="14" s="1"/>
  <c r="N21" i="14"/>
  <c r="J13" i="14"/>
  <c r="K13" i="14" s="1"/>
  <c r="N13" i="14"/>
  <c r="AO37" i="14"/>
  <c r="AO33" i="14"/>
  <c r="W37" i="14"/>
  <c r="W33" i="14"/>
  <c r="N28" i="14"/>
  <c r="J28" i="14"/>
  <c r="K28" i="14" s="1"/>
  <c r="J23" i="14"/>
  <c r="K23" i="14" s="1"/>
  <c r="N23" i="14"/>
  <c r="N20" i="14"/>
  <c r="J20" i="14"/>
  <c r="K20" i="14" s="1"/>
  <c r="J15" i="14"/>
  <c r="K15" i="14" s="1"/>
  <c r="N15" i="14"/>
  <c r="N12" i="14"/>
  <c r="J12" i="14"/>
  <c r="K12" i="14" s="1"/>
  <c r="X37" i="14"/>
  <c r="X33" i="14"/>
  <c r="AA37" i="14"/>
  <c r="AA33" i="14"/>
  <c r="AQ37" i="14"/>
  <c r="AQ33" i="14"/>
  <c r="AW37" i="14"/>
  <c r="AW33" i="14"/>
  <c r="AH33" i="14"/>
  <c r="AH37" i="14"/>
  <c r="AX33" i="14"/>
  <c r="AX37" i="14"/>
  <c r="AB37" i="14"/>
  <c r="AB33" i="14"/>
  <c r="AC37" i="14"/>
  <c r="AC33" i="14"/>
  <c r="V33" i="14"/>
  <c r="V37" i="14"/>
  <c r="AG37" i="14"/>
  <c r="AG33" i="14"/>
  <c r="AK37" i="14"/>
  <c r="AK33" i="14"/>
  <c r="AN37" i="14"/>
  <c r="AN33" i="14"/>
  <c r="AI37" i="14"/>
  <c r="AI33" i="14"/>
  <c r="AY37" i="14"/>
  <c r="AY33" i="14"/>
  <c r="Z33" i="14"/>
  <c r="Z37" i="14"/>
  <c r="AP33" i="14"/>
  <c r="AP37" i="14"/>
  <c r="J9" i="14"/>
  <c r="K9" i="14" s="1"/>
  <c r="N9" i="14"/>
  <c r="Y37" i="14"/>
  <c r="Y33" i="14"/>
  <c r="AE37" i="14"/>
  <c r="AE33" i="14"/>
  <c r="AL33" i="14"/>
  <c r="AL37" i="14"/>
  <c r="N24" i="14"/>
  <c r="J24" i="14"/>
  <c r="K24" i="14" s="1"/>
  <c r="J19" i="14"/>
  <c r="K19" i="14" s="1"/>
  <c r="N19" i="14"/>
  <c r="N16" i="14"/>
  <c r="J16" i="14"/>
  <c r="K16" i="14" s="1"/>
  <c r="J11" i="14"/>
  <c r="K11" i="14" s="1"/>
  <c r="N11" i="14"/>
  <c r="N31" i="14"/>
  <c r="J31" i="14"/>
  <c r="K31" i="14" s="1"/>
  <c r="N18" i="14"/>
  <c r="J18" i="14"/>
  <c r="K18" i="14" s="1"/>
  <c r="N10" i="14"/>
  <c r="J10" i="14"/>
  <c r="K10" i="14" s="1"/>
  <c r="AR37" i="14"/>
  <c r="AR33" i="14"/>
  <c r="AV37" i="14"/>
  <c r="AV33" i="14"/>
  <c r="AM37" i="14"/>
  <c r="AM33" i="14"/>
  <c r="AS37" i="14"/>
  <c r="AS33" i="14"/>
  <c r="AD33" i="14"/>
  <c r="AD37" i="14"/>
  <c r="AT33" i="14"/>
  <c r="AT37" i="14"/>
  <c r="AX26" i="12"/>
  <c r="AS26" i="12"/>
  <c r="AN26" i="12"/>
  <c r="X26" i="12"/>
  <c r="AV26" i="12"/>
  <c r="AW26" i="12"/>
  <c r="AY40" i="13"/>
  <c r="O26" i="13"/>
  <c r="O8" i="13"/>
  <c r="AL36" i="13"/>
  <c r="O14" i="13"/>
  <c r="K14" i="13"/>
  <c r="L14" i="13" s="1"/>
  <c r="O10" i="13"/>
  <c r="K10" i="13"/>
  <c r="L10" i="13" s="1"/>
  <c r="O28" i="13"/>
  <c r="O16" i="13"/>
  <c r="K16" i="13"/>
  <c r="L16" i="13" s="1"/>
  <c r="O12" i="13"/>
  <c r="K12" i="13"/>
  <c r="L12" i="13" s="1"/>
  <c r="AR36" i="13"/>
  <c r="AR40" i="13"/>
  <c r="AG36" i="13"/>
  <c r="AG40" i="13"/>
  <c r="O25" i="13"/>
  <c r="K25" i="13"/>
  <c r="L25" i="13" s="1"/>
  <c r="AF40" i="13"/>
  <c r="AF36" i="13"/>
  <c r="AV40" i="13"/>
  <c r="AV36" i="13"/>
  <c r="AX40" i="13"/>
  <c r="AX36" i="13"/>
  <c r="AC36" i="13"/>
  <c r="AC40" i="13"/>
  <c r="AW36" i="13"/>
  <c r="AW40" i="13"/>
  <c r="AA36" i="13"/>
  <c r="AA40" i="13"/>
  <c r="AK40" i="13"/>
  <c r="AK36" i="13"/>
  <c r="K31" i="13"/>
  <c r="L31" i="13" s="1"/>
  <c r="O31" i="13"/>
  <c r="O23" i="13"/>
  <c r="K23" i="13"/>
  <c r="L23" i="13" s="1"/>
  <c r="K17" i="13"/>
  <c r="L17" i="13" s="1"/>
  <c r="O17" i="13"/>
  <c r="AD36" i="13"/>
  <c r="AH40" i="13"/>
  <c r="AH36" i="13"/>
  <c r="AJ40" i="13"/>
  <c r="AJ36" i="13"/>
  <c r="AZ40" i="13"/>
  <c r="AZ36" i="13"/>
  <c r="Y40" i="13"/>
  <c r="Y36" i="13"/>
  <c r="AS36" i="13"/>
  <c r="AS40" i="13"/>
  <c r="W36" i="13"/>
  <c r="W40" i="13"/>
  <c r="AQ36" i="13"/>
  <c r="AQ40" i="13"/>
  <c r="AI36" i="13"/>
  <c r="AI40" i="13"/>
  <c r="Z36" i="13"/>
  <c r="J35" i="13"/>
  <c r="AO40" i="13"/>
  <c r="AO36" i="13"/>
  <c r="X36" i="13"/>
  <c r="X40" i="13"/>
  <c r="AN36" i="13"/>
  <c r="AN40" i="13"/>
  <c r="AT40" i="13"/>
  <c r="AT36" i="13"/>
  <c r="O19" i="13"/>
  <c r="K19" i="13"/>
  <c r="L19" i="13" s="1"/>
  <c r="AM36" i="13"/>
  <c r="AM40" i="13"/>
  <c r="K29" i="13"/>
  <c r="L29" i="13" s="1"/>
  <c r="O29" i="13"/>
  <c r="AU36" i="13"/>
  <c r="AU40" i="13"/>
  <c r="O34" i="13"/>
  <c r="K34" i="13"/>
  <c r="L34" i="13" s="1"/>
  <c r="K27" i="13"/>
  <c r="L27" i="13" s="1"/>
  <c r="O27" i="13"/>
  <c r="K21" i="13"/>
  <c r="L21" i="13" s="1"/>
  <c r="O21" i="13"/>
  <c r="AP36" i="13"/>
  <c r="V36" i="13"/>
  <c r="AB36" i="13"/>
  <c r="AB40" i="13"/>
  <c r="AE36" i="13"/>
  <c r="AE40" i="13"/>
  <c r="AO30" i="12"/>
  <c r="AO26" i="12"/>
  <c r="AR30" i="12"/>
  <c r="AR26" i="12"/>
  <c r="AA26" i="12"/>
  <c r="AA30" i="12"/>
  <c r="AL26" i="12"/>
  <c r="AL30" i="12"/>
  <c r="K25" i="12"/>
  <c r="O25" i="12"/>
  <c r="AE30" i="12"/>
  <c r="AE26" i="12"/>
  <c r="AU30" i="12"/>
  <c r="AU26" i="12"/>
  <c r="AG30" i="12"/>
  <c r="AG26" i="12"/>
  <c r="Z26" i="12"/>
  <c r="Z30" i="12"/>
  <c r="AD26" i="12"/>
  <c r="AD30" i="12"/>
  <c r="AF26" i="12"/>
  <c r="AI30" i="12"/>
  <c r="AI26" i="12"/>
  <c r="AY26" i="12"/>
  <c r="AY30" i="12"/>
  <c r="AB30" i="12"/>
  <c r="AB26" i="12"/>
  <c r="AP26" i="12"/>
  <c r="AP30" i="12"/>
  <c r="Y30" i="12"/>
  <c r="Y26" i="12"/>
  <c r="W26" i="12"/>
  <c r="W30" i="12"/>
  <c r="V26" i="12"/>
  <c r="V30" i="12"/>
  <c r="AK30" i="12"/>
  <c r="AK26" i="12"/>
  <c r="AT26" i="12"/>
  <c r="AT30" i="12"/>
  <c r="J33" i="12"/>
  <c r="AQ26" i="12"/>
  <c r="AQ30" i="12"/>
  <c r="AJ26" i="12"/>
  <c r="N9" i="1"/>
  <c r="N10" i="1"/>
  <c r="N11" i="1"/>
  <c r="N12" i="1"/>
  <c r="N13" i="1"/>
  <c r="N14" i="1"/>
  <c r="N15" i="1"/>
  <c r="N16" i="1"/>
  <c r="N17" i="1"/>
  <c r="N18" i="1"/>
  <c r="N19" i="1"/>
  <c r="N20" i="1"/>
  <c r="N22" i="1"/>
  <c r="N23" i="1"/>
  <c r="I13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8" i="1"/>
  <c r="AM30" i="12" l="1"/>
  <c r="U17" i="8"/>
  <c r="L32" i="14"/>
  <c r="K34" i="14"/>
  <c r="AZ29" i="12"/>
  <c r="U26" i="12"/>
  <c r="AZ26" i="12" s="1"/>
  <c r="U30" i="12"/>
  <c r="BA45" i="8"/>
  <c r="U33" i="14"/>
  <c r="AZ33" i="14" s="1"/>
  <c r="U37" i="14"/>
  <c r="BA36" i="13"/>
  <c r="V40" i="13"/>
  <c r="BA39" i="13"/>
  <c r="S28" i="1"/>
  <c r="U28" i="1"/>
  <c r="AQ28" i="1"/>
  <c r="AA28" i="1"/>
  <c r="T28" i="1"/>
  <c r="AL28" i="1"/>
  <c r="V28" i="1"/>
  <c r="AW28" i="1"/>
  <c r="AG28" i="1"/>
  <c r="AN28" i="1"/>
  <c r="W28" i="1"/>
  <c r="AH28" i="1"/>
  <c r="AV28" i="1"/>
  <c r="AC28" i="1"/>
  <c r="AB28" i="1"/>
  <c r="AI28" i="1"/>
  <c r="AR28" i="1"/>
  <c r="AT28" i="1"/>
  <c r="AD28" i="1"/>
  <c r="AJ28" i="1"/>
  <c r="AO28" i="1"/>
  <c r="Y28" i="1"/>
  <c r="AM28" i="1"/>
  <c r="AS28" i="1"/>
  <c r="AU28" i="1"/>
  <c r="AE28" i="1"/>
  <c r="AF28" i="1"/>
  <c r="AP28" i="1"/>
  <c r="Z28" i="1"/>
  <c r="X28" i="1"/>
  <c r="AK28" i="1"/>
  <c r="N32" i="14"/>
  <c r="I40" i="14"/>
  <c r="O35" i="13"/>
  <c r="K35" i="13"/>
  <c r="J43" i="13"/>
  <c r="L25" i="12"/>
  <c r="L27" i="12" s="1"/>
  <c r="K33" i="12"/>
  <c r="AX28" i="1" l="1"/>
  <c r="Q8" i="1"/>
  <c r="J40" i="14"/>
  <c r="K43" i="13"/>
  <c r="L35" i="13"/>
  <c r="L37" i="13" s="1"/>
  <c r="L33" i="12"/>
  <c r="M25" i="12"/>
  <c r="K40" i="14" l="1"/>
  <c r="M35" i="13"/>
  <c r="L43" i="13"/>
  <c r="V46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18" i="8"/>
  <c r="T17" i="8"/>
  <c r="T8" i="8"/>
  <c r="AZ46" i="8"/>
  <c r="AY46" i="8"/>
  <c r="AX46" i="8"/>
  <c r="AW46" i="8"/>
  <c r="AV46" i="8"/>
  <c r="AU46" i="8"/>
  <c r="AT46" i="8"/>
  <c r="AS46" i="8"/>
  <c r="AR46" i="8"/>
  <c r="AQ46" i="8"/>
  <c r="AP46" i="8"/>
  <c r="AO46" i="8"/>
  <c r="AN46" i="8"/>
  <c r="AM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J24" i="8"/>
  <c r="J23" i="8"/>
  <c r="J22" i="8"/>
  <c r="J21" i="8"/>
  <c r="J20" i="8"/>
  <c r="J19" i="8"/>
  <c r="O17" i="8"/>
  <c r="J29" i="8"/>
  <c r="J28" i="8"/>
  <c r="K28" i="8" s="1"/>
  <c r="L28" i="8" s="1"/>
  <c r="J27" i="8"/>
  <c r="J26" i="8"/>
  <c r="K26" i="8" s="1"/>
  <c r="L26" i="8" s="1"/>
  <c r="J25" i="8"/>
  <c r="J16" i="8"/>
  <c r="J15" i="8"/>
  <c r="J14" i="8"/>
  <c r="J13" i="8"/>
  <c r="J12" i="8"/>
  <c r="J11" i="8"/>
  <c r="J10" i="8"/>
  <c r="K49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AL46" i="8"/>
  <c r="AK46" i="8"/>
  <c r="L43" i="8"/>
  <c r="K43" i="8" s="1"/>
  <c r="J43" i="8" s="1"/>
  <c r="N42" i="8"/>
  <c r="J41" i="8"/>
  <c r="K41" i="8" s="1"/>
  <c r="L41" i="8" s="1"/>
  <c r="J40" i="8"/>
  <c r="J39" i="8"/>
  <c r="O39" i="8" s="1"/>
  <c r="J38" i="8"/>
  <c r="J37" i="8"/>
  <c r="K37" i="8" s="1"/>
  <c r="L37" i="8" s="1"/>
  <c r="J36" i="8"/>
  <c r="J35" i="8"/>
  <c r="O35" i="8" s="1"/>
  <c r="J34" i="8"/>
  <c r="J33" i="8"/>
  <c r="K33" i="8" s="1"/>
  <c r="L33" i="8" s="1"/>
  <c r="J32" i="8"/>
  <c r="J31" i="8"/>
  <c r="O31" i="8" s="1"/>
  <c r="J30" i="8"/>
  <c r="J9" i="8"/>
  <c r="K8" i="8"/>
  <c r="L8" i="8" s="1"/>
  <c r="BA48" i="8" l="1"/>
  <c r="BA46" i="8"/>
  <c r="K12" i="8"/>
  <c r="L12" i="8" s="1"/>
  <c r="K16" i="8"/>
  <c r="L16" i="8" s="1"/>
  <c r="O21" i="8"/>
  <c r="U9" i="8"/>
  <c r="K10" i="8"/>
  <c r="L10" i="8" s="1"/>
  <c r="K14" i="8"/>
  <c r="L14" i="8" s="1"/>
  <c r="K9" i="8"/>
  <c r="L9" i="8" s="1"/>
  <c r="J42" i="8"/>
  <c r="K42" i="8" s="1"/>
  <c r="L42" i="8" s="1"/>
  <c r="V43" i="8"/>
  <c r="W47" i="8"/>
  <c r="W43" i="8"/>
  <c r="AE47" i="8"/>
  <c r="AE43" i="8"/>
  <c r="AO47" i="8"/>
  <c r="AO43" i="8"/>
  <c r="AW47" i="8"/>
  <c r="AW43" i="8"/>
  <c r="X47" i="8"/>
  <c r="X43" i="8"/>
  <c r="AB47" i="8"/>
  <c r="AB43" i="8"/>
  <c r="AF47" i="8"/>
  <c r="AF43" i="8"/>
  <c r="AJ47" i="8"/>
  <c r="AJ43" i="8"/>
  <c r="AP47" i="8"/>
  <c r="AP43" i="8"/>
  <c r="AT47" i="8"/>
  <c r="AT43" i="8"/>
  <c r="AX47" i="8"/>
  <c r="AX43" i="8"/>
  <c r="AC47" i="8"/>
  <c r="AC43" i="8"/>
  <c r="AG47" i="8"/>
  <c r="AG43" i="8"/>
  <c r="AM47" i="8"/>
  <c r="AM43" i="8"/>
  <c r="AQ47" i="8"/>
  <c r="AQ43" i="8"/>
  <c r="AY47" i="8"/>
  <c r="AY43" i="8"/>
  <c r="AK47" i="8"/>
  <c r="AK43" i="8"/>
  <c r="Z47" i="8"/>
  <c r="Z43" i="8"/>
  <c r="AD47" i="8"/>
  <c r="AD43" i="8"/>
  <c r="AH47" i="8"/>
  <c r="AH43" i="8"/>
  <c r="AN47" i="8"/>
  <c r="AN43" i="8"/>
  <c r="AR47" i="8"/>
  <c r="AR43" i="8"/>
  <c r="AV47" i="8"/>
  <c r="AV43" i="8"/>
  <c r="AZ47" i="8"/>
  <c r="AZ43" i="8"/>
  <c r="AL47" i="8"/>
  <c r="AL43" i="8"/>
  <c r="AA47" i="8"/>
  <c r="AA43" i="8"/>
  <c r="AI47" i="8"/>
  <c r="AI43" i="8"/>
  <c r="AS47" i="8"/>
  <c r="AS43" i="8"/>
  <c r="AU47" i="8"/>
  <c r="AU43" i="8"/>
  <c r="Y47" i="8"/>
  <c r="Y43" i="8"/>
  <c r="O8" i="8"/>
  <c r="O26" i="8"/>
  <c r="V47" i="8"/>
  <c r="O41" i="8"/>
  <c r="K19" i="8"/>
  <c r="L19" i="8" s="1"/>
  <c r="K22" i="8"/>
  <c r="L22" i="8" s="1"/>
  <c r="O14" i="8"/>
  <c r="K15" i="8"/>
  <c r="L15" i="8" s="1"/>
  <c r="K27" i="8"/>
  <c r="L27" i="8" s="1"/>
  <c r="O10" i="8"/>
  <c r="O13" i="8"/>
  <c r="O25" i="8"/>
  <c r="K23" i="8"/>
  <c r="L23" i="8" s="1"/>
  <c r="K18" i="8"/>
  <c r="L18" i="8" s="1"/>
  <c r="O18" i="8"/>
  <c r="K32" i="8"/>
  <c r="L32" i="8" s="1"/>
  <c r="K34" i="8"/>
  <c r="L34" i="8" s="1"/>
  <c r="K36" i="8"/>
  <c r="L36" i="8" s="1"/>
  <c r="K38" i="8"/>
  <c r="L38" i="8" s="1"/>
  <c r="K30" i="8"/>
  <c r="L30" i="8" s="1"/>
  <c r="O32" i="8"/>
  <c r="O34" i="8"/>
  <c r="O36" i="8"/>
  <c r="O38" i="8"/>
  <c r="K20" i="8"/>
  <c r="L20" i="8" s="1"/>
  <c r="O22" i="8"/>
  <c r="O29" i="8"/>
  <c r="K24" i="8"/>
  <c r="L24" i="8" s="1"/>
  <c r="K40" i="8"/>
  <c r="L40" i="8" s="1"/>
  <c r="O40" i="8"/>
  <c r="K11" i="8"/>
  <c r="L11" i="8" s="1"/>
  <c r="K17" i="8"/>
  <c r="L17" i="8" s="1"/>
  <c r="O19" i="8"/>
  <c r="K21" i="8"/>
  <c r="L21" i="8" s="1"/>
  <c r="O23" i="8"/>
  <c r="O20" i="8"/>
  <c r="O24" i="8"/>
  <c r="O11" i="8"/>
  <c r="K13" i="8"/>
  <c r="L13" i="8" s="1"/>
  <c r="O15" i="8"/>
  <c r="K25" i="8"/>
  <c r="L25" i="8" s="1"/>
  <c r="O27" i="8"/>
  <c r="K29" i="8"/>
  <c r="L29" i="8" s="1"/>
  <c r="O12" i="8"/>
  <c r="O16" i="8"/>
  <c r="O28" i="8"/>
  <c r="O30" i="8"/>
  <c r="O9" i="8"/>
  <c r="K31" i="8"/>
  <c r="L31" i="8" s="1"/>
  <c r="O33" i="8"/>
  <c r="K35" i="8"/>
  <c r="L35" i="8" s="1"/>
  <c r="O37" i="8"/>
  <c r="K39" i="8"/>
  <c r="L39" i="8" s="1"/>
  <c r="J49" i="8"/>
  <c r="I32" i="1"/>
  <c r="J26" i="1"/>
  <c r="I26" i="1" s="1"/>
  <c r="H26" i="1" s="1"/>
  <c r="L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S29" i="1"/>
  <c r="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W29" i="1"/>
  <c r="V29" i="1"/>
  <c r="U29" i="1"/>
  <c r="T29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U19" i="8" l="1"/>
  <c r="T19" i="8" s="1"/>
  <c r="U23" i="8"/>
  <c r="T23" i="8" s="1"/>
  <c r="U11" i="8"/>
  <c r="T11" i="8" s="1"/>
  <c r="U24" i="8"/>
  <c r="T24" i="8" s="1"/>
  <c r="U15" i="8"/>
  <c r="T15" i="8" s="1"/>
  <c r="U22" i="8"/>
  <c r="T22" i="8" s="1"/>
  <c r="U20" i="8"/>
  <c r="T20" i="8" s="1"/>
  <c r="T9" i="8"/>
  <c r="U13" i="8"/>
  <c r="T13" i="8" s="1"/>
  <c r="AY25" i="1"/>
  <c r="AX31" i="1"/>
  <c r="AX25" i="1"/>
  <c r="L50" i="8"/>
  <c r="L44" i="8"/>
  <c r="AX29" i="1"/>
  <c r="BA43" i="8"/>
  <c r="S26" i="1"/>
  <c r="V26" i="1"/>
  <c r="AA26" i="1"/>
  <c r="AI26" i="1"/>
  <c r="AO26" i="1"/>
  <c r="AU26" i="1"/>
  <c r="U26" i="1"/>
  <c r="AH26" i="1"/>
  <c r="AT26" i="1"/>
  <c r="AB26" i="1"/>
  <c r="AN26" i="1"/>
  <c r="T26" i="1"/>
  <c r="AW30" i="1"/>
  <c r="AW26" i="1"/>
  <c r="AE30" i="1"/>
  <c r="AE26" i="1"/>
  <c r="AM30" i="1"/>
  <c r="AM26" i="1"/>
  <c r="AD30" i="1"/>
  <c r="AD26" i="1"/>
  <c r="AL30" i="1"/>
  <c r="AL26" i="1"/>
  <c r="AP30" i="1"/>
  <c r="AP26" i="1"/>
  <c r="X30" i="1"/>
  <c r="X26" i="1"/>
  <c r="AQ30" i="1"/>
  <c r="AQ26" i="1"/>
  <c r="W30" i="1"/>
  <c r="W26" i="1"/>
  <c r="AF30" i="1"/>
  <c r="AF26" i="1"/>
  <c r="AJ30" i="1"/>
  <c r="AJ26" i="1"/>
  <c r="AR30" i="1"/>
  <c r="AR26" i="1"/>
  <c r="AV30" i="1"/>
  <c r="AV26" i="1"/>
  <c r="Y30" i="1"/>
  <c r="Y26" i="1"/>
  <c r="AC30" i="1"/>
  <c r="AC26" i="1"/>
  <c r="AG30" i="1"/>
  <c r="AG26" i="1"/>
  <c r="AK30" i="1"/>
  <c r="AK26" i="1"/>
  <c r="AS30" i="1"/>
  <c r="AS26" i="1"/>
  <c r="Z30" i="1"/>
  <c r="Z26" i="1"/>
  <c r="V30" i="1"/>
  <c r="AA30" i="1"/>
  <c r="AI30" i="1"/>
  <c r="AU30" i="1"/>
  <c r="AB30" i="1"/>
  <c r="AN30" i="1"/>
  <c r="T30" i="1"/>
  <c r="AO30" i="1"/>
  <c r="U30" i="1"/>
  <c r="AH30" i="1"/>
  <c r="AT30" i="1"/>
  <c r="M42" i="8"/>
  <c r="K50" i="8"/>
  <c r="O42" i="8"/>
  <c r="M49" i="8"/>
  <c r="M50" i="8" s="1"/>
  <c r="J50" i="8"/>
  <c r="H32" i="1"/>
  <c r="K32" i="1" s="1"/>
  <c r="K33" i="1" s="1"/>
  <c r="S30" i="1"/>
  <c r="M23" i="1"/>
  <c r="M12" i="1"/>
  <c r="U12" i="8" l="1"/>
  <c r="T12" i="8" s="1"/>
  <c r="U21" i="8"/>
  <c r="T21" i="8" s="1"/>
  <c r="U16" i="8"/>
  <c r="T16" i="8" s="1"/>
  <c r="U10" i="8"/>
  <c r="T10" i="8" s="1"/>
  <c r="U14" i="8"/>
  <c r="T14" i="8" s="1"/>
  <c r="AX26" i="1"/>
  <c r="M13" i="1"/>
  <c r="M9" i="1"/>
  <c r="M11" i="1"/>
  <c r="M14" i="1"/>
  <c r="M10" i="1"/>
  <c r="Q17" i="1"/>
  <c r="M17" i="1"/>
  <c r="Q18" i="1"/>
  <c r="M18" i="1"/>
  <c r="I12" i="1"/>
  <c r="Q12" i="1"/>
  <c r="I11" i="1"/>
  <c r="Q11" i="1"/>
  <c r="I23" i="1"/>
  <c r="Q23" i="1"/>
  <c r="I14" i="1"/>
  <c r="Q14" i="1"/>
  <c r="I10" i="1"/>
  <c r="Q10" i="1"/>
  <c r="J13" i="1"/>
  <c r="Q13" i="1"/>
  <c r="I9" i="1"/>
  <c r="I17" i="1"/>
  <c r="J17" i="1" s="1"/>
  <c r="I18" i="1"/>
  <c r="J18" i="1" s="1"/>
  <c r="Q9" i="1" l="1"/>
  <c r="J23" i="1"/>
  <c r="J9" i="1"/>
  <c r="J10" i="1"/>
  <c r="J11" i="1"/>
  <c r="J12" i="1"/>
  <c r="J14" i="1"/>
  <c r="Q24" i="1" l="1"/>
  <c r="M24" i="1"/>
  <c r="Q16" i="1"/>
  <c r="M16" i="1"/>
  <c r="Q15" i="1"/>
  <c r="M15" i="1"/>
  <c r="Q21" i="1"/>
  <c r="M21" i="1"/>
  <c r="Q22" i="1"/>
  <c r="M22" i="1"/>
  <c r="M8" i="1"/>
  <c r="Q19" i="1"/>
  <c r="M19" i="1"/>
  <c r="Q20" i="1"/>
  <c r="M20" i="1"/>
  <c r="I15" i="1"/>
  <c r="J15" i="1" s="1"/>
  <c r="I21" i="1"/>
  <c r="J21" i="1" s="1"/>
  <c r="I8" i="1"/>
  <c r="J8" i="1" s="1"/>
  <c r="I22" i="1"/>
  <c r="J22" i="1" s="1"/>
  <c r="I19" i="1"/>
  <c r="J19" i="1" s="1"/>
  <c r="I16" i="1"/>
  <c r="J16" i="1" s="1"/>
  <c r="I20" i="1"/>
  <c r="J20" i="1" s="1"/>
  <c r="I24" i="1"/>
  <c r="J24" i="1" s="1"/>
  <c r="I25" i="1" l="1"/>
  <c r="H33" i="1"/>
  <c r="M25" i="1"/>
  <c r="I33" i="1" l="1"/>
  <c r="J25" i="1"/>
  <c r="J27" i="1" l="1"/>
  <c r="K25" i="1"/>
  <c r="J33" i="1"/>
  <c r="V17" i="17" l="1"/>
  <c r="V33" i="17"/>
  <c r="V26" i="17"/>
  <c r="V32" i="17"/>
  <c r="V31" i="17"/>
  <c r="V21" i="17"/>
  <c r="V22" i="17"/>
  <c r="V28" i="17"/>
  <c r="V34" i="17"/>
  <c r="V24" i="17"/>
  <c r="V25" i="17"/>
  <c r="V27" i="17"/>
  <c r="V20" i="17"/>
  <c r="V18" i="17"/>
  <c r="V23" i="17"/>
  <c r="V29" i="17"/>
  <c r="V30" i="17"/>
  <c r="V19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R32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25.08.1961г.</t>
        </r>
      </text>
    </comment>
    <comment ref="R33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26.11.1966г.</t>
        </r>
      </text>
    </comment>
    <comment ref="R34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07.04.1964г.</t>
        </r>
      </text>
    </comment>
    <comment ref="R42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25.08.1961г.</t>
        </r>
      </text>
    </comment>
    <comment ref="R43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26.11.1966г.</t>
        </r>
      </text>
    </comment>
    <comment ref="R44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07.04.1964г.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T32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14.06.1986г.89184871252-1000с %</t>
        </r>
      </text>
    </comment>
    <comment ref="T35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20.10.1986г-1100+%</t>
        </r>
      </text>
    </comment>
    <comment ref="T36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04"/>
          </rPr>
          <t>Автор:
+79883685346</t>
        </r>
      </text>
    </comment>
    <comment ref="T42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14.06.1986г.89184871252-1000с %</t>
        </r>
      </text>
    </comment>
    <comment ref="T45" authorId="0" shapeId="0" xr:uid="{00000000-0006-0000-0100-000005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20.10.1986г-1100+%</t>
        </r>
      </text>
    </comment>
    <comment ref="T46" authorId="0" shapeId="0" xr:uid="{00000000-0006-0000-0100-000006000000}">
      <text>
        <r>
          <rPr>
            <b/>
            <sz val="8"/>
            <color indexed="81"/>
            <rFont val="Tahoma"/>
            <family val="2"/>
            <charset val="204"/>
          </rPr>
          <t>Автор:
+79883685346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U42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04"/>
          </rPr>
          <t>Kar12.12.1976г тел 8918-69-81-750</t>
        </r>
      </text>
    </comment>
    <comment ref="U43" authorId="0" shapeId="0" xr:uid="{00000000-0006-0000-0400-000002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02.10.1973г.
ставка 900 руб</t>
        </r>
      </text>
    </comment>
    <comment ref="U44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17.04.1983
г тел 8918-143-55-08,% с июня</t>
        </r>
      </text>
    </comment>
    <comment ref="U45" authorId="0" shapeId="0" xr:uid="{00000000-0006-0000-0400-000004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06.04.1993г 89528461726</t>
        </r>
      </text>
    </comment>
    <comment ref="U46" authorId="0" shapeId="0" xr:uid="{00000000-0006-0000-0400-000005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04.07.1982г. Тел. 8962-86-79-205 с 19.11.12-по 31.12.12-оклад 900руб/день, с 01.01.13г.+%</t>
        </r>
      </text>
    </comment>
    <comment ref="U47" authorId="0" shapeId="0" xr:uid="{00000000-0006-0000-0400-000006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89951872268 29.05.1983г</t>
        </r>
      </text>
    </comment>
    <comment ref="U53" authorId="0" shapeId="0" xr:uid="{00000000-0006-0000-0400-000007000000}">
      <text>
        <r>
          <rPr>
            <b/>
            <sz val="8"/>
            <color indexed="81"/>
            <rFont val="Tahoma"/>
            <family val="2"/>
            <charset val="204"/>
          </rPr>
          <t>Kar12.12.1976г тел 8918-69-81-750</t>
        </r>
      </text>
    </comment>
    <comment ref="U54" authorId="0" shapeId="0" xr:uid="{00000000-0006-0000-0400-000008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02.10.1973г.
ставка 900 руб</t>
        </r>
      </text>
    </comment>
    <comment ref="U55" authorId="0" shapeId="0" xr:uid="{00000000-0006-0000-0400-000009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17.04.1983
г тел 8918-143-55-08,% с июня</t>
        </r>
      </text>
    </comment>
    <comment ref="U56" authorId="0" shapeId="0" xr:uid="{00000000-0006-0000-0400-00000A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06.04.1993г 89528461726</t>
        </r>
      </text>
    </comment>
    <comment ref="U57" authorId="0" shapeId="0" xr:uid="{00000000-0006-0000-0400-00000B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04.07.1982г. Тел. 8962-86-79-205 с 19.11.12-по 31.12.12-оклад 900руб/день, с 01.01.13г.+%</t>
        </r>
      </text>
    </comment>
    <comment ref="U58" authorId="0" shapeId="0" xr:uid="{00000000-0006-0000-0400-00000C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89951872268 29.05.1983г</t>
        </r>
      </text>
    </comment>
  </commentList>
</comments>
</file>

<file path=xl/sharedStrings.xml><?xml version="1.0" encoding="utf-8"?>
<sst xmlns="http://schemas.openxmlformats.org/spreadsheetml/2006/main" count="1221" uniqueCount="423">
  <si>
    <t>чел/час</t>
  </si>
  <si>
    <t>чел/смен</t>
  </si>
  <si>
    <t>Часов в смене</t>
  </si>
  <si>
    <t>ИТОГО план</t>
  </si>
  <si>
    <t>Количество работников в цехе</t>
  </si>
  <si>
    <t>Отработ. чел/час</t>
  </si>
  <si>
    <t>Отработ. чел/смен</t>
  </si>
  <si>
    <t>Выполнение плана</t>
  </si>
  <si>
    <t>ПЕЛЬМЕННЫЙ ЦЕХ</t>
  </si>
  <si>
    <t>План пр-ва в кг</t>
  </si>
  <si>
    <t>Пр-во в кг</t>
  </si>
  <si>
    <t>Ед изм. (вес ед)</t>
  </si>
  <si>
    <t>СЛОЙКА</t>
  </si>
  <si>
    <t>Слойка 110г с  колбасой и сыром замороженная 1х4х20шт</t>
  </si>
  <si>
    <t>Слойка 100г с  курицей замороженная 1х4х20шт</t>
  </si>
  <si>
    <t>Дениш 100г с вишней замороженный 1х4х20шт</t>
  </si>
  <si>
    <t>Дениш 100г яблоками замороженный 1х4х20шт</t>
  </si>
  <si>
    <t>Дениш 100г с маком замороженный 1х4х20шт</t>
  </si>
  <si>
    <t>Дениш 100г с кленовым сиропом и орехами замороженный 1х4х20шт</t>
  </si>
  <si>
    <t>Дениш 85г французский замороженный 1х4х20шт</t>
  </si>
  <si>
    <t>Пирожок 80г с сыром и кинзой замороженный 1х4х20шт</t>
  </si>
  <si>
    <t>Круассан 80г замороженный 1х4х25шт</t>
  </si>
  <si>
    <t>Круассан 80г капучино замороженный 1х4х20шт</t>
  </si>
  <si>
    <t>Круассан 85г Red замороженный 1х4х20шт</t>
  </si>
  <si>
    <t>Австрийский штрудель(с вишней)кг</t>
  </si>
  <si>
    <t>Мини-галета 190 г с вишней замороженный 1*3*4 шт.</t>
  </si>
  <si>
    <t>Мини-галета 190 г с ягодами замороженный 1*3*4 шт.</t>
  </si>
  <si>
    <t>Мини-галета 200 г с яблоками замороженный 1*3*4 шт.</t>
  </si>
  <si>
    <t>Киш510 Лоран с беконом</t>
  </si>
  <si>
    <t>Киш 600 Лоран со шпинатом</t>
  </si>
  <si>
    <t>Киш 710 Лоран с овощами</t>
  </si>
  <si>
    <t>Лепешка 500 зам(тесто слоеное)</t>
  </si>
  <si>
    <t>Лепешка 330 зам(тесто слоеное)</t>
  </si>
  <si>
    <t>ПИРОЖКОВЫЙ ЦЕХ</t>
  </si>
  <si>
    <t>Пирожок 30г жареный с ягодами</t>
  </si>
  <si>
    <t>Пирожок 30г жареный с творогом</t>
  </si>
  <si>
    <t>Пирожок 30г жареный с мясом</t>
  </si>
  <si>
    <t>Пирожок 30г жареный с картофелем и сыром</t>
  </si>
  <si>
    <t>Пирожок 30г жареный с яйцом и луком</t>
  </si>
  <si>
    <t>Пирожок 30г жареный с капустой</t>
  </si>
  <si>
    <t>Лапша 300г домашняя с зеленью ручной работы</t>
  </si>
  <si>
    <t>Лапша 300г домашняя широкая ручной работы</t>
  </si>
  <si>
    <t>Лапша 450г домашняя тонкая ручной работы</t>
  </si>
  <si>
    <t>Компот 300мл ассорти</t>
  </si>
  <si>
    <t>Компот 300мл из манго</t>
  </si>
  <si>
    <t>Компот 300мл из облепихи</t>
  </si>
  <si>
    <t>Компот 300мл из тыквы, яблок и лимона</t>
  </si>
  <si>
    <t>Морс 300мл вишневый</t>
  </si>
  <si>
    <t>Морс 300мл из клюквы</t>
  </si>
  <si>
    <t>Морс 300мл из осенних фруктов</t>
  </si>
  <si>
    <t>Морс 300мл из черной смородины</t>
  </si>
  <si>
    <t>Вареники 500г с картофелем и грибами</t>
  </si>
  <si>
    <t>Вареники 500г с сыром адыгейским</t>
  </si>
  <si>
    <t>Пельмени 500г из мяса индейки</t>
  </si>
  <si>
    <t>Пельмени 500г Сибирские</t>
  </si>
  <si>
    <t>Равиоли с адыгейским копченым сыром охлажденные</t>
  </si>
  <si>
    <t>Равиоли с брынзой охлажденные</t>
  </si>
  <si>
    <t>Сырники творожные замороженные</t>
  </si>
  <si>
    <t>Факт пр-ва в кг</t>
  </si>
  <si>
    <t>Подробный ежедневный план производства, кг</t>
  </si>
  <si>
    <t>ПЛАН ПРОИЗВОДСТВА НА МЕСЯЦ</t>
  </si>
  <si>
    <t>Цеховая норма выработки, кг/чел/час</t>
  </si>
  <si>
    <t>Работник 4</t>
  </si>
  <si>
    <t>Работник 5</t>
  </si>
  <si>
    <t>Работник 6</t>
  </si>
  <si>
    <t>Работник 7</t>
  </si>
  <si>
    <t>График выхода, чел/смен</t>
  </si>
  <si>
    <t>Нужно чел/ч</t>
  </si>
  <si>
    <t>Нужно чел/см</t>
  </si>
  <si>
    <t>Сопоставление</t>
  </si>
  <si>
    <t>План Трудозатрат</t>
  </si>
  <si>
    <t>Нужно распланировать пр-во по дням, кг</t>
  </si>
  <si>
    <t>Итого план, кг</t>
  </si>
  <si>
    <t>Кол-во смен на 1 чел</t>
  </si>
  <si>
    <t>План/факт,%</t>
  </si>
  <si>
    <t>ФАКТ НАКОПИТ ИТОГ</t>
  </si>
  <si>
    <t>ИТОГИ ЗА МЕСЯЦ</t>
  </si>
  <si>
    <t>Итого факт</t>
  </si>
  <si>
    <t>Количество дней в месяце</t>
  </si>
  <si>
    <t>Выработка, кг/чел/час</t>
  </si>
  <si>
    <t>Нужно распланировать пр-во по дням, шт</t>
  </si>
  <si>
    <t>Подробный ежедневный план производства, шт</t>
  </si>
  <si>
    <t>Ед изм. (вес шт)</t>
  </si>
  <si>
    <t>кол-во чл в смене</t>
  </si>
  <si>
    <t>справочно</t>
  </si>
  <si>
    <t>Необх. Смен по плану</t>
  </si>
  <si>
    <t>План на месяц</t>
  </si>
  <si>
    <t>Корр. 1</t>
  </si>
  <si>
    <t>Корр. 2</t>
  </si>
  <si>
    <t>Справочно: средние возможности производства</t>
  </si>
  <si>
    <t>Возм. Пр-ва 1 чел кг в час</t>
  </si>
  <si>
    <t>Возм. Пр-ва 1 чел кг в смену</t>
  </si>
  <si>
    <t>Возм. Пр-ва кг на смену</t>
  </si>
  <si>
    <t>ИТОГО План пр-ва в шт</t>
  </si>
  <si>
    <t>Возм. Пр-ва 1 чел шт в смену</t>
  </si>
  <si>
    <t>Возм. Пр-ва шт на смену</t>
  </si>
  <si>
    <t>Возм. Пр-ва 1 чел шт в час</t>
  </si>
  <si>
    <t>свободно чел/см</t>
  </si>
  <si>
    <t>кол-во чел в смене</t>
  </si>
  <si>
    <t>ШОКЕР</t>
  </si>
  <si>
    <t>КОНСЕРВАЦИЯ</t>
  </si>
  <si>
    <t>План пр-ва в л</t>
  </si>
  <si>
    <t>Возм. Пр-ва 1 чел лв час</t>
  </si>
  <si>
    <t>Факт пр-ва в л</t>
  </si>
  <si>
    <t>Цеховая норма выработки, л/чел/час</t>
  </si>
  <si>
    <t>Пр-во в л</t>
  </si>
  <si>
    <t>Выработка, л/чел/час</t>
  </si>
  <si>
    <t>ТОРТЫ</t>
  </si>
  <si>
    <t>Кузнецова А.Д.</t>
  </si>
  <si>
    <t>Лоскутова А.</t>
  </si>
  <si>
    <t>Перекипий Р.П.</t>
  </si>
  <si>
    <t>Мирошниченко С.А.</t>
  </si>
  <si>
    <t>В</t>
  </si>
  <si>
    <t>Ч-полуфабрикат слоеный сырой для печенья слоеные ушки</t>
  </si>
  <si>
    <t>Ч-полуфабрикат слоеный бездрожжевой на масле язычок</t>
  </si>
  <si>
    <t>Ч-полуфабрикат слоеный (сырой)Шу</t>
  </si>
  <si>
    <t>Ч-полуфабрикат слоеный (сырой)Труба</t>
  </si>
  <si>
    <t xml:space="preserve">Полуфабрикат муссового торта выходного дня </t>
  </si>
  <si>
    <t>Полуфабрикат торта бисквитно-воздушного для заказных тортов</t>
  </si>
  <si>
    <t>Полуфабрикат торта бисквитного Амстердам</t>
  </si>
  <si>
    <t>Полуфабрикат торта бисквитного Арбуз</t>
  </si>
  <si>
    <t>Полуфабрикат торта бисквитного Бананово-шоколадног</t>
  </si>
  <si>
    <t>Полуфабрикат торта бисквитного Берлин</t>
  </si>
  <si>
    <t>Полуфабрикат торта бисквитного Венский</t>
  </si>
  <si>
    <t>Полуфабрикат торта бисквитного Забава</t>
  </si>
  <si>
    <t>Полуфабрикат торта бисквитного Итальянский (с сыром домашним)</t>
  </si>
  <si>
    <t>Полуфабрикат торта бисквитного Каприз</t>
  </si>
  <si>
    <t>Полуфабрикат торта бисквитного Карамельного</t>
  </si>
  <si>
    <t>Полуфабрикат торта бисквитного Клубнично-шоколадного</t>
  </si>
  <si>
    <t>Полуфабрикат торта бисквитного Красный бархат</t>
  </si>
  <si>
    <t>Полуфабрикат торта бисквитного Мазурка</t>
  </si>
  <si>
    <t>Полуфабрикат торта бисквитного Малиновый шифон</t>
  </si>
  <si>
    <t xml:space="preserve">Полуфабрикат торта бисквитного Морковный </t>
  </si>
  <si>
    <t>Полуфабрикат торта бисквитного Подарочного (Женева)</t>
  </si>
  <si>
    <t>Полуфабрикат торта бисквитного Птичье молоко</t>
  </si>
  <si>
    <t>Полуфабрикат торта бисквитного Сластена</t>
  </si>
  <si>
    <t>Полуфабрикат торта бисквитного Смородинового</t>
  </si>
  <si>
    <t>Полуфабрикат торта бисквитного София</t>
  </si>
  <si>
    <t>Полуфабрикат торта бисквитного Трюфельный</t>
  </si>
  <si>
    <t xml:space="preserve">Полуфабрикат торта муссового сердце </t>
  </si>
  <si>
    <t>Трубник В.</t>
  </si>
  <si>
    <t>Черная С.</t>
  </si>
  <si>
    <t>Бутовец М.</t>
  </si>
  <si>
    <t>Гевондян В.</t>
  </si>
  <si>
    <t>Разумовский Н.</t>
  </si>
  <si>
    <t>Чаплинский В.</t>
  </si>
  <si>
    <t>ВЫРУЧКА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</si>
  <si>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</si>
  <si>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</si>
  <si>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</si>
  <si>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</si>
  <si>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</si>
  <si>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</si>
  <si>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</si>
  <si>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</si>
  <si>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</si>
  <si>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</si>
  <si>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</si>
  <si>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</si>
  <si>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итого</t>
  </si>
  <si>
    <t>среднмес</t>
  </si>
  <si>
    <t>Готовая продукция</t>
  </si>
  <si>
    <t>Кондитерские изделия</t>
  </si>
  <si>
    <t>Десерты</t>
  </si>
  <si>
    <t>Изделия из марципана</t>
  </si>
  <si>
    <t>Изделия из слоенного теста</t>
  </si>
  <si>
    <t>Изделия из шоколада</t>
  </si>
  <si>
    <t>Изделия на заказ</t>
  </si>
  <si>
    <t>Кенди бар</t>
  </si>
  <si>
    <t>Торты заказные</t>
  </si>
  <si>
    <t>Кексы</t>
  </si>
  <si>
    <t>Конфеты</t>
  </si>
  <si>
    <t>Пасха</t>
  </si>
  <si>
    <t>Наборы</t>
  </si>
  <si>
    <t>Печенье, зефир, мармелад</t>
  </si>
  <si>
    <t>Печенье, зефир, мармелад весовые</t>
  </si>
  <si>
    <t>Печенье, зефир, мармелад тематические</t>
  </si>
  <si>
    <t>Печенье, зефир, мармелад штучные</t>
  </si>
  <si>
    <t>Пирожные</t>
  </si>
  <si>
    <t>Полуфабрикаты из слоенного теста замороженные</t>
  </si>
  <si>
    <t>Праздники 14 и 23 февраля, 8 марта</t>
  </si>
  <si>
    <t>Сезонное предложение</t>
  </si>
  <si>
    <t>Торты бисквитные</t>
  </si>
  <si>
    <t>Торты песочные</t>
  </si>
  <si>
    <t>Украшения из шоколада для нового года</t>
  </si>
  <si>
    <t>Торты, печенья и кексы</t>
  </si>
  <si>
    <t>Фирменная продукция в упаковке</t>
  </si>
  <si>
    <t>Кулинарные изделия</t>
  </si>
  <si>
    <t>Гастрономические блюда</t>
  </si>
  <si>
    <t>Замороженные блюда</t>
  </si>
  <si>
    <t>Консервация реализация</t>
  </si>
  <si>
    <t>Варенья и джемы</t>
  </si>
  <si>
    <t>Компоты</t>
  </si>
  <si>
    <t>Маринады</t>
  </si>
  <si>
    <t>Кулинарные изделия на заказ</t>
  </si>
  <si>
    <t>Банкетные блюда</t>
  </si>
  <si>
    <t>Блюда на спец.заказ</t>
  </si>
  <si>
    <t>Канапе</t>
  </si>
  <si>
    <t>Макаронные изделия</t>
  </si>
  <si>
    <t>Мясные блюда</t>
  </si>
  <si>
    <t>Напитки</t>
  </si>
  <si>
    <t>Овощные блюда</t>
  </si>
  <si>
    <t>Первые блюда</t>
  </si>
  <si>
    <t>Рыбные блюда</t>
  </si>
  <si>
    <t>Салаты</t>
  </si>
  <si>
    <t>Салаты корейские</t>
  </si>
  <si>
    <t>Салаты мясные</t>
  </si>
  <si>
    <t>Салаты овощные</t>
  </si>
  <si>
    <t>Салаты рыбные</t>
  </si>
  <si>
    <t>Соуса</t>
  </si>
  <si>
    <t>Творожные блюда</t>
  </si>
  <si>
    <t>Подарки</t>
  </si>
  <si>
    <t>Продукция магазина</t>
  </si>
  <si>
    <t>Выпечка</t>
  </si>
  <si>
    <t>Бараночные и сухарные изделия</t>
  </si>
  <si>
    <t>Выпечка на заказ</t>
  </si>
  <si>
    <t>Изделия из несладкого дрожжевого теста</t>
  </si>
  <si>
    <t>Пироги несладкие</t>
  </si>
  <si>
    <t>Пирожки несладкие</t>
  </si>
  <si>
    <t>Изделия из сладкого дрожжевого теста</t>
  </si>
  <si>
    <t>Пироги сладкие</t>
  </si>
  <si>
    <t>Пирожки сладкие</t>
  </si>
  <si>
    <t>Изделия из слоенного дрожжевого теста</t>
  </si>
  <si>
    <t>Свадебный товар</t>
  </si>
  <si>
    <t>Хлебобулочные изделия</t>
  </si>
  <si>
    <t>Напитки собственного производства</t>
  </si>
  <si>
    <t>Коктейли</t>
  </si>
  <si>
    <t>Предложение к чаю</t>
  </si>
  <si>
    <t>Фреши</t>
  </si>
  <si>
    <t>Чай и кофе в фарфоровой посуде</t>
  </si>
  <si>
    <t>Чай и кофе на вынос</t>
  </si>
  <si>
    <t>СЕЗОННОСТЬ</t>
  </si>
  <si>
    <t>Ожидаемый рост (снижение) к предыдущему месяцу</t>
  </si>
  <si>
    <t>План продаж в ед изм.</t>
  </si>
  <si>
    <t>Запасы, в ед. изм</t>
  </si>
  <si>
    <t>миним. остатки</t>
  </si>
  <si>
    <t>План пр-ва в шт</t>
  </si>
  <si>
    <t>Компот 300мл абрикосовый</t>
  </si>
  <si>
    <t>Морс 300мл лесная ягода</t>
  </si>
  <si>
    <t>Компот 1000г виноградный</t>
  </si>
  <si>
    <t>Компот 1000г из яблок и груш</t>
  </si>
  <si>
    <t>Варенье 250г груша с лимонграсом</t>
  </si>
  <si>
    <t xml:space="preserve">К-Заправка 1,8кг борщевая </t>
  </si>
  <si>
    <t>б\с</t>
  </si>
  <si>
    <t xml:space="preserve">Вареники 500г с вишней  </t>
  </si>
  <si>
    <t xml:space="preserve">Вареники 500г с картофелем и луком </t>
  </si>
  <si>
    <t xml:space="preserve">Вареники 500г с Ягодами </t>
  </si>
  <si>
    <t>Пельмени 500г королевские из кролика</t>
  </si>
  <si>
    <t xml:space="preserve">Равиоли 500г из мяса кур замороженные </t>
  </si>
  <si>
    <t xml:space="preserve">Хинкали 500г </t>
  </si>
  <si>
    <t>Равиоли с моцареллой и сулугуни охлажденные</t>
  </si>
  <si>
    <t xml:space="preserve">Вареники шоколадные с вишней охлажденные </t>
  </si>
  <si>
    <t>б</t>
  </si>
  <si>
    <t>Количество смен с учетом всех сотрудников в смене</t>
  </si>
  <si>
    <t>Номенклатура</t>
  </si>
  <si>
    <t>Количество Расход</t>
  </si>
  <si>
    <t xml:space="preserve">Курник 200г с курицей мини замороженный </t>
  </si>
  <si>
    <t>Сабурани с сыром 1кг.</t>
  </si>
  <si>
    <t>Сырники творожные</t>
  </si>
  <si>
    <t>Хачапури 270г с сыром замороженные</t>
  </si>
  <si>
    <t xml:space="preserve">Яблоки запеченные с творогом </t>
  </si>
  <si>
    <t>Яблоки запеченные с творогом замороженные</t>
  </si>
  <si>
    <t>мин остаток</t>
  </si>
  <si>
    <t>Сабурани 220г с сыром мини замороженная</t>
  </si>
  <si>
    <t>Хворост 150г Криспи малинки</t>
  </si>
  <si>
    <t>Сабурани-мини 200г запеченные</t>
  </si>
  <si>
    <t>Хачапури 250гр с сыром</t>
  </si>
  <si>
    <t>Хворост 150г Криспи оранж</t>
  </si>
  <si>
    <t>Курник 190г мини</t>
  </si>
  <si>
    <t>оборотка</t>
  </si>
  <si>
    <t>Семенякина Наталия Николаевна</t>
  </si>
  <si>
    <t xml:space="preserve"> Еготинцева Марина Александровна</t>
  </si>
  <si>
    <t>Соколовская Мария</t>
  </si>
  <si>
    <t>Шилтова Евгения</t>
  </si>
  <si>
    <t>Корзунова Наталья Борисовна</t>
  </si>
  <si>
    <t>Вальтер Нинель Алексеевна</t>
  </si>
  <si>
    <t>г.ц.</t>
  </si>
  <si>
    <t xml:space="preserve">Трюфели творожные с малиной </t>
  </si>
  <si>
    <t>Помощник</t>
  </si>
  <si>
    <t>Котлета мясная замороженная</t>
  </si>
  <si>
    <t>Котлеты из индейки с грибами замороженные</t>
  </si>
  <si>
    <t>Котлеты из щуки замороженные</t>
  </si>
  <si>
    <t>Котлеты куриные замороженные</t>
  </si>
  <si>
    <t>Мясо по-французски замороженное</t>
  </si>
  <si>
    <t>Полента запеченная с сыром замороженная</t>
  </si>
  <si>
    <t>Тефтельки куриные на пару замороженные</t>
  </si>
  <si>
    <t>Оборотка</t>
  </si>
  <si>
    <t>продажи</t>
  </si>
  <si>
    <t>Полуфабрикат торта Фисташкового</t>
  </si>
  <si>
    <t>Полуфабрикат торта Екатерина</t>
  </si>
  <si>
    <t>Полуфабрикат торта Тыква</t>
  </si>
  <si>
    <t>Общая площадь цеха</t>
  </si>
  <si>
    <t>Рабочая площадь цеха</t>
  </si>
  <si>
    <t>Площадь морозильной камеры</t>
  </si>
  <si>
    <t>Площадь шокерной камеры</t>
  </si>
  <si>
    <t>Площадь рабочих поверхностей</t>
  </si>
  <si>
    <t>Сегодня</t>
  </si>
  <si>
    <t>Прошло дней месяца</t>
  </si>
  <si>
    <t>Осталось дней месяца</t>
  </si>
  <si>
    <t>План продаж в день, кг</t>
  </si>
  <si>
    <t>Факт продаж с начала месяца</t>
  </si>
  <si>
    <t>Остатки фактич на Фабрике сегодня</t>
  </si>
  <si>
    <t>Остатки минимум (норма) шт</t>
  </si>
  <si>
    <t>Необходимый объем пр-ва до конца месяца</t>
  </si>
  <si>
    <t>шт</t>
  </si>
  <si>
    <t>кг</t>
  </si>
  <si>
    <t>кг в день</t>
  </si>
  <si>
    <t>дней</t>
  </si>
  <si>
    <t>шт в день</t>
  </si>
  <si>
    <t>План продаж в день, шт</t>
  </si>
  <si>
    <t>Необх. объем пр-ва до конца месяца</t>
  </si>
  <si>
    <t>Вспомогательная таблица для сопоставления объемов продажи и производства, а также расчета корректировки плана производства</t>
  </si>
  <si>
    <t>Должность</t>
  </si>
  <si>
    <t>Управленческий график согласно штатного расписания</t>
  </si>
  <si>
    <t>График выхода</t>
  </si>
  <si>
    <t>Показатели по цеху</t>
  </si>
  <si>
    <t>м2</t>
  </si>
  <si>
    <t>м2/чел</t>
  </si>
  <si>
    <t>Наименование Готовой продукции</t>
  </si>
  <si>
    <t>Наименование ПФ</t>
  </si>
  <si>
    <t>ПЛАН ПРОИЗВОДСТВА ПФ НА МЕСЯЦ</t>
  </si>
  <si>
    <t>ПЛАН ПРОДАЖ ГОТОВОЙ ПРОДУКЦИИ НА МЕСЯЦ</t>
  </si>
  <si>
    <r>
      <t xml:space="preserve">Наименование Готовой продукции </t>
    </r>
    <r>
      <rPr>
        <i/>
        <sz val="11"/>
        <color theme="1"/>
        <rFont val="Calibri"/>
        <family val="2"/>
        <charset val="204"/>
        <scheme val="minor"/>
      </rPr>
      <t>(соответствующее ПФ)</t>
    </r>
  </si>
  <si>
    <t>Ед изм. ПФ        (вес шт)</t>
  </si>
  <si>
    <t>Торт Амстердам</t>
  </si>
  <si>
    <t>Торт Арбуз</t>
  </si>
  <si>
    <t xml:space="preserve">Торт Берлин </t>
  </si>
  <si>
    <t>Торт Забава</t>
  </si>
  <si>
    <t xml:space="preserve">Торт Итальянский </t>
  </si>
  <si>
    <t>Торт Каприз</t>
  </si>
  <si>
    <t>Торт Карамельный</t>
  </si>
  <si>
    <t>Торт Красный бархат</t>
  </si>
  <si>
    <t>Торт Мазурка</t>
  </si>
  <si>
    <t>Торт Малиновый шифон</t>
  </si>
  <si>
    <t xml:space="preserve">Торт Морковный </t>
  </si>
  <si>
    <t>Торт Женева</t>
  </si>
  <si>
    <t xml:space="preserve">Торт Птичье молоко </t>
  </si>
  <si>
    <t xml:space="preserve">Торт Смородиновый </t>
  </si>
  <si>
    <t>Торт София</t>
  </si>
  <si>
    <t xml:space="preserve">Торт Трюфельный </t>
  </si>
  <si>
    <t>Торт</t>
  </si>
  <si>
    <t>План продаж ГП в кг</t>
  </si>
  <si>
    <t>% ПФ в 1кг ГП</t>
  </si>
  <si>
    <t>План продаж ГП в день, кг</t>
  </si>
  <si>
    <t>Факт продаж ГП с начала месяца</t>
  </si>
  <si>
    <t>Расход ПФ в день, шт</t>
  </si>
  <si>
    <t>Остатки ПФ на Фабрике сегодня</t>
  </si>
  <si>
    <t>Необх. объем пр-ва ПФ до конца месяца</t>
  </si>
  <si>
    <t xml:space="preserve">Нужна корр-ка планов </t>
  </si>
  <si>
    <t>Пр-во ПФ шт</t>
  </si>
  <si>
    <t>Продаж ГП, кг</t>
  </si>
  <si>
    <t>ф</t>
  </si>
  <si>
    <t>пл</t>
  </si>
  <si>
    <t>План Расхода ПФ, шт</t>
  </si>
  <si>
    <t>Вспомогательная таблица для сопоставления объемов продаж и производства, а также расчета корректировки плана производства</t>
  </si>
  <si>
    <t>Запас ПФ, шт</t>
  </si>
  <si>
    <t>корректируйте данные за прошедшие дни (плановые объемы заменяйте фактическими объемами пр-ва) и при необходимости меняйте план</t>
  </si>
  <si>
    <t>факт</t>
  </si>
  <si>
    <t>остат плана</t>
  </si>
  <si>
    <t>Итого, шт</t>
  </si>
  <si>
    <t>Продажи ГП в кг, пр-во ПФ в шт</t>
  </si>
  <si>
    <t>Продажи и пр-во в шт</t>
  </si>
  <si>
    <t>Гусейнов О.В.</t>
  </si>
  <si>
    <t>Бедный Ю.В.</t>
  </si>
  <si>
    <t>Кривцов А.С.</t>
  </si>
  <si>
    <t>Остатки минимум (норма) кг</t>
  </si>
  <si>
    <t>Продажи и пр-во в кг</t>
  </si>
  <si>
    <t>Запасы, кг</t>
  </si>
  <si>
    <t>Нора А.А.</t>
  </si>
  <si>
    <t>Николенко А.</t>
  </si>
  <si>
    <t>Паловинка А.Н.</t>
  </si>
  <si>
    <t>Герасимова А.В.</t>
  </si>
  <si>
    <t>Казимир Е.В.</t>
  </si>
  <si>
    <t>Кульбака О.П.</t>
  </si>
  <si>
    <t>Головина И.Г.</t>
  </si>
  <si>
    <t>Золотова Т.А.</t>
  </si>
  <si>
    <t>Иванько В.</t>
  </si>
  <si>
    <t>Карабоненко М.Н.</t>
  </si>
  <si>
    <t>Продажи в шт и кг, пр-во в кг</t>
  </si>
  <si>
    <t>План Расхода ПФ, кг</t>
  </si>
  <si>
    <t>Итого, кг</t>
  </si>
  <si>
    <t>Котлеты из индейки с грибами</t>
  </si>
  <si>
    <t xml:space="preserve">Котлеты из щуки  </t>
  </si>
  <si>
    <t xml:space="preserve">Котлеты куриные </t>
  </si>
  <si>
    <t>Мясо по-французски</t>
  </si>
  <si>
    <t>Тефтельки куриные на пару</t>
  </si>
  <si>
    <t>Ед изм. (вес шт ПФ)</t>
  </si>
  <si>
    <r>
      <rPr>
        <i/>
        <sz val="11"/>
        <color theme="1"/>
        <rFont val="Calibri"/>
        <family val="2"/>
        <charset val="204"/>
        <scheme val="minor"/>
      </rPr>
      <t xml:space="preserve">Справочно     </t>
    </r>
    <r>
      <rPr>
        <b/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Наименование Готовой продукции </t>
    </r>
    <r>
      <rPr>
        <i/>
        <sz val="11"/>
        <color theme="1"/>
        <rFont val="Calibri"/>
        <family val="2"/>
        <charset val="204"/>
        <scheme val="minor"/>
      </rPr>
      <t>(соответствующее ПФ)</t>
    </r>
  </si>
  <si>
    <t>Слойка 100г пикант барко</t>
  </si>
  <si>
    <t>Слойка 80г "Аля итальяно" с моцареллой и томатами</t>
  </si>
  <si>
    <t xml:space="preserve">Дениш 100г с вишней  </t>
  </si>
  <si>
    <t xml:space="preserve">Дениш 90г с яблоками </t>
  </si>
  <si>
    <t xml:space="preserve">Дениш 100г с маком   </t>
  </si>
  <si>
    <t>Дениш 100г с кленовым сиропом и орехами</t>
  </si>
  <si>
    <t>Дениш 70г Французский</t>
  </si>
  <si>
    <t xml:space="preserve">Пирожок 70г с сыром и кинзой </t>
  </si>
  <si>
    <t>Круассан 70г free</t>
  </si>
  <si>
    <t>Круассаны 120г зебра с шоколадным кремом</t>
  </si>
  <si>
    <t>Круассан 150г с малиной</t>
  </si>
  <si>
    <t>Австрийский штрудель с вишней</t>
  </si>
  <si>
    <t>Мини-галета 200г с вишней</t>
  </si>
  <si>
    <t>Мини-галета 200г с ягодами</t>
  </si>
  <si>
    <t xml:space="preserve">Мини-галета 200г с яблоками   </t>
  </si>
  <si>
    <t>Пирожное слоеное 75г Трубочка</t>
  </si>
  <si>
    <t>Пирожное 90г Шу</t>
  </si>
  <si>
    <t xml:space="preserve">Пирожное слоеное 35г Язычки  </t>
  </si>
  <si>
    <t>Лаваш 400г</t>
  </si>
  <si>
    <t>Хлеб 250г Чиабатта</t>
  </si>
  <si>
    <t>Запасы ПФ, в ед. изм</t>
  </si>
  <si>
    <t>ПЛАН ПРОДАЖ ГП НА МЕСЯЦ</t>
  </si>
  <si>
    <t>План продаж ГП в ед изм.</t>
  </si>
  <si>
    <t>Ед изм. (вес шт ГП и ПФ)</t>
  </si>
  <si>
    <t>ИТОГО План пр-ва ПФ в шт</t>
  </si>
  <si>
    <t>План пр-ва ПФ в кг</t>
  </si>
  <si>
    <t>да</t>
  </si>
  <si>
    <t>нет</t>
  </si>
  <si>
    <t>Берем эти остатки?</t>
  </si>
  <si>
    <t>остатки на 1 числ</t>
  </si>
  <si>
    <t>Продаж ГП, шт</t>
  </si>
  <si>
    <t>Пр-во ПФ кг</t>
  </si>
  <si>
    <t>Полента запеченная с сыром</t>
  </si>
  <si>
    <t>Подробный ежедневный план производства ПФ, кг</t>
  </si>
  <si>
    <t>Необходим объем пр-ва ПФ до конца 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</si>
</sst>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%"/>
    <numFmt numFmtId="166" formatCode="_(&quot;$&quot;* #,##0.00_);_(&quot;$&quot;* \(#,##0.00\);_(&quot;$&quot;* &quot;-&quot;??_);_(@_)"/>
    <numFmt numFmtId="167" formatCode="0.000;[Red]\-0.000"/>
    <numFmt numFmtId="168" formatCode="#,##0.000;[Red]\-#,##0.000"/>
    <numFmt numFmtId="169" formatCode="0.000"/>
    <numFmt numFmtId="170" formatCode="#,##0.000"/>
    <numFmt numFmtId="171" formatCode="[$-419]d\ mmm;@"/>
    <numFmt numFmtId="172" formatCode="[$-419]mmmm\ yyyy;@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2" tint="-0.249977111117893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Verdan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name val="Arial Cyr"/>
      <charset val="204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hair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0"/>
      </left>
      <right style="medium">
        <color auto="1"/>
      </right>
      <top style="thin">
        <color auto="1"/>
      </top>
      <bottom style="thin">
        <color indexed="60"/>
      </bottom>
      <diagonal/>
    </border>
    <border>
      <left style="thin">
        <color indexed="60"/>
      </left>
      <right style="medium">
        <color auto="1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auto="1"/>
      </right>
      <top style="thin">
        <color indexed="60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8" fillId="0" borderId="0"/>
    <xf numFmtId="166" fontId="9" fillId="0" borderId="0" applyFont="0" applyFill="0" applyBorder="0" applyAlignment="0" applyProtection="0"/>
    <xf numFmtId="0" fontId="13" fillId="0" borderId="0"/>
    <xf numFmtId="0" fontId="10" fillId="0" borderId="0"/>
    <xf numFmtId="0" fontId="1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166" fontId="8" fillId="0" borderId="0" applyFont="0" applyFill="0" applyBorder="0" applyAlignment="0" applyProtection="0"/>
    <xf numFmtId="0" fontId="8" fillId="0" borderId="0"/>
    <xf numFmtId="0" fontId="13" fillId="0" borderId="0"/>
    <xf numFmtId="0" fontId="21" fillId="0" borderId="0"/>
    <xf numFmtId="0" fontId="13" fillId="0" borderId="0"/>
  </cellStyleXfs>
  <cellXfs count="5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164" fontId="0" fillId="0" borderId="4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64" fontId="1" fillId="0" borderId="20" xfId="0" applyNumberFormat="1" applyFont="1" applyBorder="1" applyAlignment="1">
      <alignment horizontal="center"/>
    </xf>
    <xf numFmtId="1" fontId="1" fillId="4" borderId="17" xfId="0" applyNumberFormat="1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4" fontId="5" fillId="4" borderId="17" xfId="0" applyNumberFormat="1" applyFont="1" applyFill="1" applyBorder="1" applyAlignment="1">
      <alignment horizontal="center"/>
    </xf>
    <xf numFmtId="164" fontId="1" fillId="4" borderId="21" xfId="0" applyNumberFormat="1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1" fillId="4" borderId="22" xfId="0" applyNumberFormat="1" applyFont="1" applyFill="1" applyBorder="1" applyAlignment="1">
      <alignment horizontal="center"/>
    </xf>
    <xf numFmtId="0" fontId="0" fillId="0" borderId="1" xfId="0" applyBorder="1" applyProtection="1"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 applyProtection="1">
      <alignment horizontal="center"/>
      <protection locked="0"/>
    </xf>
    <xf numFmtId="4" fontId="0" fillId="2" borderId="8" xfId="0" applyNumberForma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0" borderId="0" xfId="0" applyFont="1"/>
    <xf numFmtId="2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" fillId="3" borderId="24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4" fontId="4" fillId="3" borderId="24" xfId="0" applyNumberFormat="1" applyFont="1" applyFill="1" applyBorder="1" applyAlignment="1" applyProtection="1">
      <alignment horizontal="center"/>
      <protection locked="0"/>
    </xf>
    <xf numFmtId="4" fontId="4" fillId="3" borderId="25" xfId="0" applyNumberFormat="1" applyFont="1" applyFill="1" applyBorder="1" applyAlignment="1" applyProtection="1">
      <alignment horizontal="center"/>
      <protection locked="0"/>
    </xf>
    <xf numFmtId="4" fontId="4" fillId="3" borderId="26" xfId="0" applyNumberFormat="1" applyFont="1" applyFill="1" applyBorder="1" applyAlignment="1" applyProtection="1">
      <alignment horizontal="center"/>
      <protection locked="0"/>
    </xf>
    <xf numFmtId="164" fontId="1" fillId="3" borderId="26" xfId="0" applyNumberFormat="1" applyFont="1" applyFill="1" applyBorder="1" applyAlignment="1">
      <alignment horizontal="center"/>
    </xf>
    <xf numFmtId="164" fontId="0" fillId="2" borderId="29" xfId="0" applyNumberFormat="1" applyFont="1" applyFill="1" applyBorder="1" applyAlignment="1" applyProtection="1">
      <alignment horizontal="center"/>
      <protection locked="0"/>
    </xf>
    <xf numFmtId="165" fontId="0" fillId="0" borderId="30" xfId="0" applyNumberFormat="1" applyBorder="1" applyAlignment="1">
      <alignment horizontal="center"/>
    </xf>
    <xf numFmtId="164" fontId="0" fillId="2" borderId="31" xfId="0" applyNumberFormat="1" applyFont="1" applyFill="1" applyBorder="1" applyAlignment="1" applyProtection="1">
      <alignment horizontal="center"/>
      <protection locked="0"/>
    </xf>
    <xf numFmtId="165" fontId="0" fillId="0" borderId="32" xfId="0" applyNumberFormat="1" applyBorder="1" applyAlignment="1">
      <alignment horizontal="center"/>
    </xf>
    <xf numFmtId="164" fontId="1" fillId="5" borderId="33" xfId="0" applyNumberFormat="1" applyFont="1" applyFill="1" applyBorder="1" applyAlignment="1">
      <alignment horizontal="center"/>
    </xf>
    <xf numFmtId="165" fontId="1" fillId="5" borderId="34" xfId="0" applyNumberFormat="1" applyFont="1" applyFill="1" applyBorder="1" applyAlignment="1">
      <alignment horizontal="center"/>
    </xf>
    <xf numFmtId="164" fontId="1" fillId="3" borderId="36" xfId="0" applyNumberFormat="1" applyFont="1" applyFill="1" applyBorder="1" applyAlignment="1">
      <alignment horizontal="center"/>
    </xf>
    <xf numFmtId="164" fontId="1" fillId="4" borderId="37" xfId="0" applyNumberFormat="1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4" fontId="1" fillId="4" borderId="40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4" borderId="41" xfId="0" applyNumberFormat="1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vertical="center" wrapText="1"/>
    </xf>
    <xf numFmtId="164" fontId="0" fillId="3" borderId="36" xfId="0" applyNumberFormat="1" applyFill="1" applyBorder="1" applyAlignment="1" applyProtection="1">
      <alignment horizontal="center"/>
      <protection locked="0"/>
    </xf>
    <xf numFmtId="3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/>
    </xf>
    <xf numFmtId="1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8" xfId="0" applyNumberFormat="1" applyFill="1" applyBorder="1" applyAlignment="1" applyProtection="1">
      <alignment horizontal="center"/>
      <protection locked="0"/>
    </xf>
    <xf numFmtId="3" fontId="0" fillId="2" borderId="14" xfId="0" applyNumberFormat="1" applyFill="1" applyBorder="1" applyAlignment="1" applyProtection="1">
      <alignment horizontal="center"/>
      <protection locked="0"/>
    </xf>
    <xf numFmtId="3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8" borderId="10" xfId="0" applyFont="1" applyFill="1" applyBorder="1" applyAlignment="1">
      <alignment horizontal="center" vertical="center" wrapText="1"/>
    </xf>
    <xf numFmtId="0" fontId="12" fillId="9" borderId="3" xfId="4" applyFont="1" applyFill="1" applyBorder="1" applyAlignment="1">
      <alignment horizontal="center"/>
    </xf>
    <xf numFmtId="0" fontId="12" fillId="8" borderId="1" xfId="4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 wrapText="1"/>
    </xf>
    <xf numFmtId="0" fontId="12" fillId="9" borderId="3" xfId="4" applyFont="1" applyFill="1" applyBorder="1" applyAlignment="1">
      <alignment horizontal="center"/>
    </xf>
    <xf numFmtId="0" fontId="12" fillId="8" borderId="1" xfId="4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" fillId="8" borderId="0" xfId="0" applyFont="1" applyFill="1" applyAlignment="1">
      <alignment horizontal="center"/>
    </xf>
    <xf numFmtId="3" fontId="14" fillId="0" borderId="0" xfId="0" applyNumberFormat="1" applyFont="1"/>
    <xf numFmtId="0" fontId="14" fillId="0" borderId="0" xfId="0" applyFont="1"/>
    <xf numFmtId="0" fontId="1" fillId="0" borderId="0" xfId="0" applyFont="1"/>
    <xf numFmtId="3" fontId="1" fillId="0" borderId="0" xfId="0" applyNumberFormat="1" applyFont="1"/>
    <xf numFmtId="0" fontId="14" fillId="0" borderId="0" xfId="0" applyFont="1" applyAlignment="1">
      <alignment horizontal="right"/>
    </xf>
    <xf numFmtId="2" fontId="15" fillId="13" borderId="4" xfId="0" applyNumberFormat="1" applyFont="1" applyFill="1" applyBorder="1" applyAlignment="1">
      <alignment horizontal="right" vertical="center" wrapText="1"/>
    </xf>
    <xf numFmtId="2" fontId="15" fillId="13" borderId="5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0" fontId="1" fillId="7" borderId="24" xfId="0" applyFont="1" applyFill="1" applyBorder="1"/>
    <xf numFmtId="4" fontId="1" fillId="7" borderId="24" xfId="0" applyNumberFormat="1" applyFont="1" applyFill="1" applyBorder="1"/>
    <xf numFmtId="3" fontId="1" fillId="7" borderId="24" xfId="0" applyNumberFormat="1" applyFont="1" applyFill="1" applyBorder="1"/>
    <xf numFmtId="165" fontId="1" fillId="7" borderId="24" xfId="0" applyNumberFormat="1" applyFont="1" applyFill="1" applyBorder="1"/>
    <xf numFmtId="0" fontId="1" fillId="4" borderId="24" xfId="0" applyFont="1" applyFill="1" applyBorder="1"/>
    <xf numFmtId="4" fontId="14" fillId="4" borderId="24" xfId="0" applyNumberFormat="1" applyFont="1" applyFill="1" applyBorder="1"/>
    <xf numFmtId="3" fontId="1" fillId="4" borderId="24" xfId="0" applyNumberFormat="1" applyFont="1" applyFill="1" applyBorder="1"/>
    <xf numFmtId="165" fontId="14" fillId="4" borderId="24" xfId="0" applyNumberFormat="1" applyFont="1" applyFill="1" applyBorder="1"/>
    <xf numFmtId="0" fontId="14" fillId="0" borderId="24" xfId="0" applyFont="1" applyBorder="1"/>
    <xf numFmtId="4" fontId="14" fillId="0" borderId="24" xfId="0" applyNumberFormat="1" applyFont="1" applyBorder="1"/>
    <xf numFmtId="3" fontId="1" fillId="0" borderId="24" xfId="0" applyNumberFormat="1" applyFont="1" applyBorder="1"/>
    <xf numFmtId="165" fontId="14" fillId="0" borderId="24" xfId="0" applyNumberFormat="1" applyFont="1" applyBorder="1"/>
    <xf numFmtId="3" fontId="4" fillId="0" borderId="13" xfId="0" applyNumberFormat="1" applyFont="1" applyBorder="1" applyAlignment="1">
      <alignment horizontal="center"/>
    </xf>
    <xf numFmtId="3" fontId="0" fillId="2" borderId="30" xfId="0" applyNumberFormat="1" applyFill="1" applyBorder="1" applyAlignment="1" applyProtection="1">
      <alignment horizontal="center"/>
      <protection locked="0"/>
    </xf>
    <xf numFmtId="3" fontId="0" fillId="2" borderId="32" xfId="0" applyNumberFormat="1" applyFill="1" applyBorder="1" applyAlignment="1" applyProtection="1">
      <alignment horizontal="center"/>
      <protection locked="0"/>
    </xf>
    <xf numFmtId="164" fontId="1" fillId="4" borderId="48" xfId="0" applyNumberFormat="1" applyFont="1" applyFill="1" applyBorder="1" applyAlignment="1">
      <alignment horizontal="center"/>
    </xf>
    <xf numFmtId="164" fontId="1" fillId="4" borderId="53" xfId="0" applyNumberFormat="1" applyFont="1" applyFill="1" applyBorder="1" applyAlignment="1">
      <alignment horizontal="center"/>
    </xf>
    <xf numFmtId="3" fontId="0" fillId="2" borderId="52" xfId="0" applyNumberFormat="1" applyFill="1" applyBorder="1" applyAlignment="1" applyProtection="1">
      <alignment horizontal="center"/>
      <protection locked="0"/>
    </xf>
    <xf numFmtId="4" fontId="0" fillId="2" borderId="30" xfId="0" applyNumberFormat="1" applyFill="1" applyBorder="1" applyAlignment="1" applyProtection="1">
      <alignment horizontal="center"/>
      <protection locked="0"/>
    </xf>
    <xf numFmtId="4" fontId="0" fillId="2" borderId="52" xfId="0" applyNumberFormat="1" applyFill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10" borderId="1" xfId="0" applyFont="1" applyFill="1" applyBorder="1" applyAlignment="1" applyProtection="1">
      <alignment horizontal="center"/>
      <protection locked="0"/>
    </xf>
    <xf numFmtId="0" fontId="18" fillId="0" borderId="55" xfId="8" applyNumberFormat="1" applyFont="1" applyBorder="1" applyAlignment="1">
      <alignment horizontal="left" vertical="top" wrapText="1"/>
    </xf>
    <xf numFmtId="0" fontId="18" fillId="0" borderId="55" xfId="9" applyNumberFormat="1" applyFont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164" fontId="22" fillId="4" borderId="17" xfId="0" applyNumberFormat="1" applyFont="1" applyFill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0" fontId="0" fillId="0" borderId="0" xfId="0"/>
    <xf numFmtId="164" fontId="0" fillId="0" borderId="54" xfId="0" applyNumberFormat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164" fontId="1" fillId="4" borderId="21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4" fontId="4" fillId="3" borderId="24" xfId="0" applyNumberFormat="1" applyFont="1" applyFill="1" applyBorder="1" applyAlignment="1" applyProtection="1">
      <alignment horizontal="center"/>
      <protection locked="0"/>
    </xf>
    <xf numFmtId="4" fontId="4" fillId="3" borderId="26" xfId="0" applyNumberFormat="1" applyFont="1" applyFill="1" applyBorder="1" applyAlignment="1" applyProtection="1">
      <alignment horizontal="center"/>
      <protection locked="0"/>
    </xf>
    <xf numFmtId="3" fontId="0" fillId="2" borderId="8" xfId="0" applyNumberFormat="1" applyFill="1" applyBorder="1" applyAlignment="1" applyProtection="1">
      <alignment horizontal="center"/>
      <protection locked="0"/>
    </xf>
    <xf numFmtId="3" fontId="0" fillId="2" borderId="14" xfId="0" applyNumberFormat="1" applyFill="1" applyBorder="1" applyAlignment="1" applyProtection="1">
      <alignment horizontal="center"/>
      <protection locked="0"/>
    </xf>
    <xf numFmtId="3" fontId="0" fillId="2" borderId="5" xfId="0" applyNumberFormat="1" applyFill="1" applyBorder="1" applyAlignment="1" applyProtection="1">
      <alignment horizontal="center"/>
      <protection locked="0"/>
    </xf>
    <xf numFmtId="0" fontId="1" fillId="8" borderId="10" xfId="0" applyFont="1" applyFill="1" applyBorder="1" applyAlignment="1">
      <alignment horizontal="center" vertical="center" wrapText="1"/>
    </xf>
    <xf numFmtId="3" fontId="0" fillId="2" borderId="30" xfId="0" applyNumberFormat="1" applyFill="1" applyBorder="1" applyAlignment="1" applyProtection="1">
      <alignment horizontal="center"/>
      <protection locked="0"/>
    </xf>
    <xf numFmtId="3" fontId="0" fillId="2" borderId="46" xfId="0" applyNumberFormat="1" applyFill="1" applyBorder="1" applyAlignment="1" applyProtection="1">
      <alignment horizontal="center"/>
      <protection locked="0"/>
    </xf>
    <xf numFmtId="3" fontId="0" fillId="2" borderId="32" xfId="0" applyNumberFormat="1" applyFill="1" applyBorder="1" applyAlignment="1" applyProtection="1">
      <alignment horizontal="center"/>
      <protection locked="0"/>
    </xf>
    <xf numFmtId="0" fontId="16" fillId="14" borderId="54" xfId="0" applyFont="1" applyFill="1" applyBorder="1" applyAlignment="1">
      <alignment horizontal="center"/>
    </xf>
    <xf numFmtId="0" fontId="16" fillId="9" borderId="54" xfId="0" applyFont="1" applyFill="1" applyBorder="1" applyAlignment="1">
      <alignment horizontal="center"/>
    </xf>
    <xf numFmtId="0" fontId="16" fillId="10" borderId="54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 vertical="center" wrapText="1"/>
    </xf>
    <xf numFmtId="164" fontId="1" fillId="4" borderId="18" xfId="0" applyNumberFormat="1" applyFont="1" applyFill="1" applyBorder="1" applyAlignment="1">
      <alignment horizontal="center"/>
    </xf>
    <xf numFmtId="0" fontId="8" fillId="15" borderId="45" xfId="9" applyNumberFormat="1" applyFont="1" applyFill="1" applyBorder="1" applyAlignment="1">
      <alignment horizontal="left" vertical="top" wrapText="1"/>
    </xf>
    <xf numFmtId="169" fontId="13" fillId="0" borderId="58" xfId="9" applyNumberFormat="1" applyFont="1" applyBorder="1" applyAlignment="1">
      <alignment horizontal="right" vertical="top"/>
    </xf>
    <xf numFmtId="170" fontId="13" fillId="0" borderId="58" xfId="9" applyNumberFormat="1" applyFont="1" applyBorder="1" applyAlignment="1">
      <alignment horizontal="right" vertical="top"/>
    </xf>
    <xf numFmtId="0" fontId="8" fillId="15" borderId="59" xfId="9" applyNumberFormat="1" applyFont="1" applyFill="1" applyBorder="1" applyAlignment="1">
      <alignment horizontal="left" vertical="top" wrapText="1"/>
    </xf>
    <xf numFmtId="0" fontId="13" fillId="0" borderId="57" xfId="9" applyNumberFormat="1" applyFont="1" applyBorder="1" applyAlignment="1">
      <alignment horizontal="left" vertical="top" wrapText="1"/>
    </xf>
    <xf numFmtId="0" fontId="13" fillId="0" borderId="60" xfId="9" applyNumberFormat="1" applyFont="1" applyBorder="1" applyAlignment="1">
      <alignment horizontal="left" vertical="top" wrapText="1"/>
    </xf>
    <xf numFmtId="170" fontId="13" fillId="0" borderId="60" xfId="9" applyNumberFormat="1" applyFont="1" applyBorder="1" applyAlignment="1">
      <alignment horizontal="right" vertical="top"/>
    </xf>
    <xf numFmtId="167" fontId="18" fillId="0" borderId="56" xfId="9" applyNumberFormat="1" applyFont="1" applyBorder="1" applyAlignment="1">
      <alignment horizontal="right" vertical="top"/>
    </xf>
    <xf numFmtId="0" fontId="18" fillId="0" borderId="61" xfId="9" applyNumberFormat="1" applyFont="1" applyBorder="1" applyAlignment="1">
      <alignment horizontal="left" vertical="top" wrapText="1"/>
    </xf>
    <xf numFmtId="167" fontId="18" fillId="0" borderId="61" xfId="9" applyNumberFormat="1" applyFont="1" applyBorder="1" applyAlignment="1">
      <alignment horizontal="right" vertical="top"/>
    </xf>
    <xf numFmtId="9" fontId="0" fillId="0" borderId="61" xfId="0" applyNumberFormat="1" applyBorder="1"/>
    <xf numFmtId="0" fontId="0" fillId="0" borderId="61" xfId="0" applyBorder="1"/>
    <xf numFmtId="168" fontId="18" fillId="0" borderId="61" xfId="9" applyNumberFormat="1" applyFont="1" applyBorder="1" applyAlignment="1">
      <alignment horizontal="right" vertical="top"/>
    </xf>
    <xf numFmtId="0" fontId="0" fillId="0" borderId="0" xfId="0"/>
    <xf numFmtId="0" fontId="1" fillId="5" borderId="1" xfId="0" applyFont="1" applyFill="1" applyBorder="1" applyAlignment="1">
      <alignment horizontal="center" vertical="center" wrapText="1"/>
    </xf>
    <xf numFmtId="0" fontId="13" fillId="0" borderId="62" xfId="9" applyNumberFormat="1" applyFont="1" applyBorder="1" applyAlignment="1">
      <alignment horizontal="left" vertical="top" wrapText="1"/>
    </xf>
    <xf numFmtId="0" fontId="13" fillId="0" borderId="63" xfId="9" applyNumberFormat="1" applyFont="1" applyBorder="1" applyAlignment="1">
      <alignment horizontal="left" vertical="top" wrapText="1"/>
    </xf>
    <xf numFmtId="0" fontId="0" fillId="5" borderId="61" xfId="0" applyFill="1" applyBorder="1"/>
    <xf numFmtId="0" fontId="13" fillId="0" borderId="62" xfId="9" applyNumberFormat="1" applyFont="1" applyBorder="1" applyAlignment="1">
      <alignment horizontal="right" vertical="top"/>
    </xf>
    <xf numFmtId="169" fontId="13" fillId="0" borderId="62" xfId="9" applyNumberFormat="1" applyFont="1" applyBorder="1" applyAlignment="1">
      <alignment horizontal="right" vertical="top"/>
    </xf>
    <xf numFmtId="167" fontId="18" fillId="0" borderId="64" xfId="9" applyNumberFormat="1" applyFont="1" applyFill="1" applyBorder="1" applyAlignment="1">
      <alignment horizontal="right" vertical="top"/>
    </xf>
    <xf numFmtId="0" fontId="23" fillId="14" borderId="65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3" fontId="0" fillId="2" borderId="30" xfId="0" applyNumberFormat="1" applyFill="1" applyBorder="1" applyAlignment="1" applyProtection="1">
      <alignment horizontal="center"/>
      <protection locked="0"/>
    </xf>
    <xf numFmtId="3" fontId="0" fillId="2" borderId="8" xfId="0" applyNumberFormat="1" applyFill="1" applyBorder="1" applyAlignment="1" applyProtection="1">
      <alignment horizontal="center"/>
      <protection locked="0"/>
    </xf>
    <xf numFmtId="3" fontId="0" fillId="2" borderId="14" xfId="0" applyNumberFormat="1" applyFill="1" applyBorder="1" applyAlignment="1" applyProtection="1">
      <alignment horizontal="center"/>
      <protection locked="0"/>
    </xf>
    <xf numFmtId="0" fontId="12" fillId="9" borderId="3" xfId="4" applyFont="1" applyFill="1" applyBorder="1" applyAlignment="1">
      <alignment horizontal="center"/>
    </xf>
    <xf numFmtId="0" fontId="12" fillId="8" borderId="65" xfId="4" applyFont="1" applyFill="1" applyBorder="1" applyAlignment="1">
      <alignment horizontal="center"/>
    </xf>
    <xf numFmtId="0" fontId="12" fillId="11" borderId="65" xfId="4" applyFont="1" applyFill="1" applyBorder="1" applyAlignment="1">
      <alignment horizontal="center"/>
    </xf>
    <xf numFmtId="3" fontId="24" fillId="0" borderId="0" xfId="0" applyNumberFormat="1" applyFont="1" applyAlignment="1">
      <alignment horizontal="center"/>
    </xf>
    <xf numFmtId="0" fontId="1" fillId="0" borderId="65" xfId="0" applyFont="1" applyBorder="1"/>
    <xf numFmtId="1" fontId="0" fillId="2" borderId="65" xfId="0" applyNumberFormat="1" applyFill="1" applyBorder="1" applyAlignment="1" applyProtection="1">
      <alignment horizontal="center"/>
      <protection locked="0"/>
    </xf>
    <xf numFmtId="3" fontId="25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/>
    </xf>
    <xf numFmtId="171" fontId="1" fillId="17" borderId="65" xfId="0" applyNumberFormat="1" applyFont="1" applyFill="1" applyBorder="1" applyAlignment="1">
      <alignment horizontal="center"/>
    </xf>
    <xf numFmtId="0" fontId="1" fillId="17" borderId="65" xfId="0" applyFont="1" applyFill="1" applyBorder="1" applyAlignment="1">
      <alignment horizontal="center"/>
    </xf>
    <xf numFmtId="0" fontId="1" fillId="5" borderId="50" xfId="0" applyFont="1" applyFill="1" applyBorder="1" applyAlignment="1">
      <alignment horizontal="center" vertical="center" wrapText="1"/>
    </xf>
    <xf numFmtId="0" fontId="1" fillId="5" borderId="65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65" xfId="0" applyFont="1" applyFill="1" applyBorder="1" applyAlignment="1">
      <alignment horizontal="center" vertical="center" wrapText="1"/>
    </xf>
    <xf numFmtId="0" fontId="1" fillId="19" borderId="50" xfId="0" applyFont="1" applyFill="1" applyBorder="1" applyAlignment="1">
      <alignment horizontal="center" vertical="center" wrapText="1"/>
    </xf>
    <xf numFmtId="0" fontId="1" fillId="19" borderId="65" xfId="0" applyFont="1" applyFill="1" applyBorder="1" applyAlignment="1">
      <alignment horizontal="center" vertical="center" wrapText="1"/>
    </xf>
    <xf numFmtId="0" fontId="1" fillId="19" borderId="79" xfId="0" applyFont="1" applyFill="1" applyBorder="1" applyAlignment="1">
      <alignment horizontal="center" vertical="center" wrapText="1"/>
    </xf>
    <xf numFmtId="0" fontId="1" fillId="20" borderId="30" xfId="0" applyFont="1" applyFill="1" applyBorder="1" applyAlignment="1">
      <alignment horizontal="center" vertical="center" wrapText="1"/>
    </xf>
    <xf numFmtId="164" fontId="0" fillId="2" borderId="50" xfId="0" applyNumberFormat="1" applyFill="1" applyBorder="1" applyAlignment="1">
      <alignment horizontal="center"/>
    </xf>
    <xf numFmtId="164" fontId="0" fillId="0" borderId="65" xfId="0" applyNumberFormat="1" applyBorder="1" applyAlignment="1">
      <alignment horizontal="center"/>
    </xf>
    <xf numFmtId="164" fontId="0" fillId="0" borderId="79" xfId="0" applyNumberFormat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81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0" borderId="82" xfId="0" applyFont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4" xfId="0" applyFont="1" applyBorder="1" applyAlignment="1">
      <alignment horizontal="center"/>
    </xf>
    <xf numFmtId="0" fontId="1" fillId="0" borderId="85" xfId="0" applyFont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49" fontId="1" fillId="17" borderId="65" xfId="0" applyNumberFormat="1" applyFont="1" applyFill="1" applyBorder="1" applyAlignment="1">
      <alignment horizontal="center"/>
    </xf>
    <xf numFmtId="172" fontId="3" fillId="2" borderId="1" xfId="0" applyNumberFormat="1" applyFont="1" applyFill="1" applyBorder="1" applyAlignment="1" applyProtection="1">
      <alignment horizontal="center"/>
      <protection locked="0"/>
    </xf>
    <xf numFmtId="0" fontId="18" fillId="0" borderId="61" xfId="9" applyNumberFormat="1" applyFont="1" applyBorder="1" applyAlignment="1">
      <alignment horizontal="left" vertical="top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8" fillId="0" borderId="54" xfId="12" applyNumberFormat="1" applyFont="1" applyBorder="1" applyAlignment="1">
      <alignment horizontal="left" vertical="top"/>
    </xf>
    <xf numFmtId="0" fontId="18" fillId="0" borderId="4" xfId="12" applyNumberFormat="1" applyFont="1" applyBorder="1" applyAlignment="1">
      <alignment horizontal="left" vertical="top"/>
    </xf>
    <xf numFmtId="1" fontId="1" fillId="17" borderId="65" xfId="0" applyNumberFormat="1" applyFont="1" applyFill="1" applyBorder="1" applyAlignment="1">
      <alignment horizontal="center"/>
    </xf>
    <xf numFmtId="164" fontId="0" fillId="0" borderId="86" xfId="0" applyNumberFormat="1" applyBorder="1" applyAlignment="1">
      <alignment horizontal="center"/>
    </xf>
    <xf numFmtId="164" fontId="0" fillId="0" borderId="83" xfId="0" applyNumberFormat="1" applyBorder="1" applyAlignment="1">
      <alignment horizontal="center"/>
    </xf>
    <xf numFmtId="164" fontId="0" fillId="2" borderId="86" xfId="0" applyNumberFormat="1" applyFill="1" applyBorder="1" applyAlignment="1">
      <alignment horizontal="center"/>
    </xf>
    <xf numFmtId="164" fontId="0" fillId="0" borderId="84" xfId="0" applyNumberFormat="1" applyBorder="1" applyAlignment="1">
      <alignment horizontal="center"/>
    </xf>
    <xf numFmtId="164" fontId="0" fillId="0" borderId="85" xfId="0" applyNumberFormat="1" applyBorder="1" applyAlignment="1">
      <alignment horizontal="center"/>
    </xf>
    <xf numFmtId="0" fontId="0" fillId="2" borderId="54" xfId="0" applyFill="1" applyBorder="1" applyAlignment="1" applyProtection="1">
      <alignment horizontal="left"/>
      <protection locked="0"/>
    </xf>
    <xf numFmtId="0" fontId="1" fillId="5" borderId="22" xfId="0" applyFont="1" applyFill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left"/>
      <protection locked="0"/>
    </xf>
    <xf numFmtId="1" fontId="0" fillId="0" borderId="5" xfId="0" applyNumberFormat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5" borderId="21" xfId="0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" fontId="0" fillId="0" borderId="89" xfId="0" applyNumberFormat="1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42" xfId="0" applyBorder="1" applyAlignment="1">
      <alignment horizontal="center" vertical="center" wrapText="1"/>
    </xf>
    <xf numFmtId="1" fontId="0" fillId="0" borderId="88" xfId="0" applyNumberFormat="1" applyBorder="1" applyAlignment="1">
      <alignment horizontal="center"/>
    </xf>
    <xf numFmtId="0" fontId="0" fillId="0" borderId="88" xfId="0" applyBorder="1" applyAlignment="1">
      <alignment horizontal="center" vertical="center" wrapText="1"/>
    </xf>
    <xf numFmtId="0" fontId="26" fillId="14" borderId="54" xfId="0" applyFont="1" applyFill="1" applyBorder="1" applyAlignment="1">
      <alignment horizontal="center"/>
    </xf>
    <xf numFmtId="0" fontId="26" fillId="9" borderId="54" xfId="0" applyFont="1" applyFill="1" applyBorder="1" applyAlignment="1">
      <alignment horizontal="center"/>
    </xf>
    <xf numFmtId="0" fontId="0" fillId="10" borderId="80" xfId="0" applyFont="1" applyFill="1" applyBorder="1" applyAlignment="1" applyProtection="1">
      <alignment horizontal="center"/>
      <protection locked="0"/>
    </xf>
    <xf numFmtId="0" fontId="0" fillId="10" borderId="8" xfId="0" applyFont="1" applyFill="1" applyBorder="1" applyAlignment="1" applyProtection="1">
      <alignment horizontal="center"/>
      <protection locked="0"/>
    </xf>
    <xf numFmtId="0" fontId="26" fillId="10" borderId="54" xfId="0" applyFont="1" applyFill="1" applyBorder="1" applyAlignment="1">
      <alignment horizontal="center"/>
    </xf>
    <xf numFmtId="0" fontId="0" fillId="10" borderId="54" xfId="0" applyFont="1" applyFill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28" fillId="2" borderId="1" xfId="0" applyFont="1" applyFill="1" applyBorder="1" applyAlignment="1" applyProtection="1">
      <alignment horizontal="left"/>
      <protection locked="0"/>
    </xf>
    <xf numFmtId="0" fontId="27" fillId="2" borderId="54" xfId="0" applyFont="1" applyFill="1" applyBorder="1" applyAlignment="1">
      <alignment horizontal="left" vertical="center"/>
    </xf>
    <xf numFmtId="0" fontId="28" fillId="2" borderId="54" xfId="0" applyFont="1" applyFill="1" applyBorder="1" applyAlignment="1">
      <alignment horizontal="left" vertical="center"/>
    </xf>
    <xf numFmtId="0" fontId="26" fillId="9" borderId="61" xfId="0" applyFont="1" applyFill="1" applyBorder="1" applyAlignment="1">
      <alignment horizontal="center" vertical="center"/>
    </xf>
    <xf numFmtId="0" fontId="26" fillId="14" borderId="61" xfId="0" applyFont="1" applyFill="1" applyBorder="1" applyAlignment="1">
      <alignment horizontal="center" vertical="center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6" fillId="16" borderId="61" xfId="0" applyFont="1" applyFill="1" applyBorder="1" applyAlignment="1">
      <alignment horizontal="center" vertical="center"/>
    </xf>
    <xf numFmtId="0" fontId="0" fillId="0" borderId="61" xfId="0" applyFont="1" applyBorder="1"/>
    <xf numFmtId="0" fontId="26" fillId="5" borderId="61" xfId="0" applyFont="1" applyFill="1" applyBorder="1" applyAlignment="1">
      <alignment horizontal="center" vertical="center"/>
    </xf>
    <xf numFmtId="0" fontId="0" fillId="0" borderId="8" xfId="0" applyFont="1" applyBorder="1"/>
    <xf numFmtId="164" fontId="0" fillId="0" borderId="65" xfId="0" applyNumberFormat="1" applyBorder="1"/>
    <xf numFmtId="0" fontId="1" fillId="7" borderId="65" xfId="0" applyFont="1" applyFill="1" applyBorder="1" applyAlignment="1">
      <alignment horizontal="center"/>
    </xf>
    <xf numFmtId="164" fontId="0" fillId="2" borderId="65" xfId="0" applyNumberFormat="1" applyFill="1" applyBorder="1"/>
    <xf numFmtId="3" fontId="4" fillId="0" borderId="78" xfId="0" applyNumberFormat="1" applyFont="1" applyBorder="1" applyAlignment="1">
      <alignment horizontal="center"/>
    </xf>
    <xf numFmtId="0" fontId="1" fillId="7" borderId="65" xfId="0" applyFont="1" applyFill="1" applyBorder="1" applyAlignment="1">
      <alignment horizontal="center" vertical="center" wrapText="1"/>
    </xf>
    <xf numFmtId="164" fontId="1" fillId="5" borderId="65" xfId="0" applyNumberFormat="1" applyFont="1" applyFill="1" applyBorder="1" applyAlignment="1">
      <alignment horizontal="center"/>
    </xf>
    <xf numFmtId="0" fontId="1" fillId="3" borderId="6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0" fillId="2" borderId="80" xfId="0" applyNumberFormat="1" applyFill="1" applyBorder="1" applyAlignment="1" applyProtection="1">
      <alignment horizontal="center"/>
      <protection locked="0"/>
    </xf>
    <xf numFmtId="164" fontId="0" fillId="0" borderId="10" xfId="0" applyNumberFormat="1" applyFont="1" applyFill="1" applyBorder="1" applyAlignment="1">
      <alignment horizontal="center"/>
    </xf>
    <xf numFmtId="3" fontId="1" fillId="3" borderId="36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1" fillId="0" borderId="85" xfId="0" applyNumberFormat="1" applyFont="1" applyBorder="1" applyAlignment="1">
      <alignment horizontal="center"/>
    </xf>
    <xf numFmtId="0" fontId="6" fillId="0" borderId="0" xfId="0" applyFont="1"/>
    <xf numFmtId="164" fontId="1" fillId="0" borderId="3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164" fontId="7" fillId="0" borderId="0" xfId="0" applyNumberFormat="1" applyFont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164" fontId="0" fillId="0" borderId="79" xfId="0" applyNumberFormat="1" applyBorder="1" applyAlignment="1">
      <alignment horizontal="center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1" fillId="0" borderId="69" xfId="0" applyNumberFormat="1" applyFont="1" applyBorder="1" applyAlignment="1">
      <alignment horizontal="center"/>
    </xf>
    <xf numFmtId="1" fontId="1" fillId="0" borderId="71" xfId="0" applyNumberFormat="1" applyFont="1" applyBorder="1" applyAlignment="1">
      <alignment horizontal="center"/>
    </xf>
    <xf numFmtId="1" fontId="1" fillId="0" borderId="50" xfId="0" applyNumberFormat="1" applyFont="1" applyBorder="1" applyAlignment="1">
      <alignment horizontal="center" vertical="center" wrapText="1"/>
    </xf>
    <xf numFmtId="1" fontId="1" fillId="0" borderId="79" xfId="0" applyNumberFormat="1" applyFont="1" applyBorder="1" applyAlignment="1">
      <alignment horizontal="center" vertical="center" wrapText="1"/>
    </xf>
    <xf numFmtId="1" fontId="1" fillId="0" borderId="50" xfId="0" applyNumberFormat="1" applyFont="1" applyBorder="1" applyAlignment="1">
      <alignment horizontal="center"/>
    </xf>
    <xf numFmtId="1" fontId="1" fillId="0" borderId="79" xfId="0" applyNumberFormat="1" applyFont="1" applyBorder="1" applyAlignment="1">
      <alignment horizontal="center"/>
    </xf>
    <xf numFmtId="1" fontId="1" fillId="0" borderId="86" xfId="0" applyNumberFormat="1" applyFont="1" applyBorder="1" applyAlignment="1">
      <alignment horizontal="center"/>
    </xf>
    <xf numFmtId="1" fontId="1" fillId="0" borderId="83" xfId="0" applyNumberFormat="1" applyFont="1" applyBorder="1" applyAlignment="1">
      <alignment horizontal="center"/>
    </xf>
    <xf numFmtId="3" fontId="0" fillId="0" borderId="49" xfId="0" applyNumberFormat="1" applyFill="1" applyBorder="1" applyAlignment="1" applyProtection="1">
      <alignment horizontal="center"/>
      <protection locked="0"/>
    </xf>
    <xf numFmtId="4" fontId="0" fillId="0" borderId="65" xfId="0" applyNumberFormat="1" applyFill="1" applyBorder="1" applyAlignment="1" applyProtection="1">
      <alignment horizontal="center"/>
      <protection locked="0"/>
    </xf>
    <xf numFmtId="3" fontId="0" fillId="0" borderId="9" xfId="0" applyNumberFormat="1" applyFill="1" applyBorder="1" applyAlignment="1" applyProtection="1">
      <alignment horizontal="center"/>
      <protection locked="0"/>
    </xf>
    <xf numFmtId="170" fontId="0" fillId="0" borderId="49" xfId="0" applyNumberFormat="1" applyFill="1" applyBorder="1" applyAlignment="1" applyProtection="1">
      <alignment horizontal="center"/>
      <protection locked="0"/>
    </xf>
    <xf numFmtId="3" fontId="0" fillId="0" borderId="92" xfId="0" applyNumberFormat="1" applyFill="1" applyBorder="1" applyAlignment="1" applyProtection="1">
      <alignment horizontal="center"/>
      <protection locked="0"/>
    </xf>
    <xf numFmtId="4" fontId="0" fillId="0" borderId="95" xfId="0" applyNumberFormat="1" applyFill="1" applyBorder="1" applyAlignment="1" applyProtection="1">
      <alignment horizontal="center"/>
      <protection locked="0"/>
    </xf>
    <xf numFmtId="3" fontId="0" fillId="0" borderId="94" xfId="0" applyNumberForma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center"/>
    </xf>
    <xf numFmtId="0" fontId="13" fillId="0" borderId="105" xfId="7" applyNumberFormat="1" applyFont="1" applyFill="1" applyBorder="1" applyAlignment="1">
      <alignment horizontal="left" vertical="top"/>
    </xf>
    <xf numFmtId="1" fontId="1" fillId="0" borderId="100" xfId="0" applyNumberFormat="1" applyFont="1" applyBorder="1" applyAlignment="1">
      <alignment horizontal="center"/>
    </xf>
    <xf numFmtId="0" fontId="13" fillId="0" borderId="105" xfId="7" applyNumberFormat="1" applyFont="1" applyBorder="1" applyAlignment="1">
      <alignment horizontal="left" vertical="top"/>
    </xf>
    <xf numFmtId="1" fontId="1" fillId="0" borderId="102" xfId="0" applyNumberFormat="1" applyFont="1" applyBorder="1" applyAlignment="1">
      <alignment horizontal="center"/>
    </xf>
    <xf numFmtId="1" fontId="1" fillId="0" borderId="103" xfId="0" applyNumberFormat="1" applyFont="1" applyBorder="1" applyAlignment="1">
      <alignment horizontal="center"/>
    </xf>
    <xf numFmtId="0" fontId="13" fillId="20" borderId="105" xfId="7" applyNumberFormat="1" applyFont="1" applyFill="1" applyBorder="1" applyAlignment="1">
      <alignment horizontal="left" vertical="top"/>
    </xf>
    <xf numFmtId="1" fontId="1" fillId="0" borderId="101" xfId="0" applyNumberFormat="1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164" fontId="7" fillId="0" borderId="0" xfId="0" applyNumberFormat="1" applyFont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100" xfId="0" applyFont="1" applyBorder="1" applyAlignment="1">
      <alignment horizontal="center"/>
    </xf>
    <xf numFmtId="0" fontId="1" fillId="0" borderId="101" xfId="0" applyFont="1" applyBorder="1" applyAlignment="1">
      <alignment horizontal="center"/>
    </xf>
    <xf numFmtId="164" fontId="0" fillId="0" borderId="102" xfId="0" applyNumberFormat="1" applyBorder="1" applyAlignment="1">
      <alignment horizontal="center"/>
    </xf>
    <xf numFmtId="164" fontId="0" fillId="0" borderId="103" xfId="0" applyNumberFormat="1" applyBorder="1" applyAlignment="1">
      <alignment horizontal="center"/>
    </xf>
    <xf numFmtId="0" fontId="1" fillId="19" borderId="102" xfId="0" applyFont="1" applyFill="1" applyBorder="1" applyAlignment="1">
      <alignment horizontal="center" vertical="center" wrapText="1"/>
    </xf>
    <xf numFmtId="0" fontId="1" fillId="19" borderId="103" xfId="0" applyFont="1" applyFill="1" applyBorder="1" applyAlignment="1">
      <alignment horizontal="center" vertical="center" wrapText="1"/>
    </xf>
    <xf numFmtId="164" fontId="0" fillId="2" borderId="65" xfId="0" applyNumberForma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8" fillId="8" borderId="61" xfId="9" applyNumberFormat="1" applyFont="1" applyFill="1" applyBorder="1" applyAlignment="1">
      <alignment horizontal="left" vertical="top"/>
    </xf>
    <xf numFmtId="0" fontId="18" fillId="8" borderId="55" xfId="14" applyNumberFormat="1" applyFont="1" applyFill="1" applyBorder="1" applyAlignment="1">
      <alignment horizontal="left" vertical="top"/>
    </xf>
    <xf numFmtId="172" fontId="3" fillId="2" borderId="0" xfId="0" applyNumberFormat="1" applyFont="1" applyFill="1" applyBorder="1" applyAlignment="1" applyProtection="1">
      <alignment horizontal="center"/>
      <protection locked="0"/>
    </xf>
    <xf numFmtId="0" fontId="1" fillId="7" borderId="106" xfId="0" applyFont="1" applyFill="1" applyBorder="1" applyAlignment="1">
      <alignment horizontal="center" vertical="center" wrapText="1"/>
    </xf>
    <xf numFmtId="164" fontId="1" fillId="5" borderId="106" xfId="0" applyNumberFormat="1" applyFont="1" applyFill="1" applyBorder="1" applyAlignment="1">
      <alignment horizontal="center"/>
    </xf>
    <xf numFmtId="0" fontId="1" fillId="3" borderId="106" xfId="0" applyFont="1" applyFill="1" applyBorder="1" applyAlignment="1">
      <alignment horizontal="center"/>
    </xf>
    <xf numFmtId="0" fontId="1" fillId="7" borderId="106" xfId="0" applyFont="1" applyFill="1" applyBorder="1" applyAlignment="1">
      <alignment horizontal="center"/>
    </xf>
    <xf numFmtId="0" fontId="1" fillId="0" borderId="106" xfId="0" applyFont="1" applyBorder="1"/>
    <xf numFmtId="3" fontId="0" fillId="0" borderId="107" xfId="0" applyNumberFormat="1" applyFill="1" applyBorder="1" applyAlignment="1" applyProtection="1">
      <alignment horizontal="center"/>
      <protection locked="0"/>
    </xf>
    <xf numFmtId="3" fontId="0" fillId="2" borderId="10" xfId="0" applyNumberFormat="1" applyFill="1" applyBorder="1" applyAlignment="1" applyProtection="1">
      <alignment horizontal="center"/>
      <protection locked="0"/>
    </xf>
    <xf numFmtId="3" fontId="0" fillId="2" borderId="7" xfId="0" applyNumberFormat="1" applyFill="1" applyBorder="1" applyAlignment="1" applyProtection="1">
      <alignment horizontal="center"/>
      <protection locked="0"/>
    </xf>
    <xf numFmtId="4" fontId="0" fillId="0" borderId="49" xfId="0" applyNumberFormat="1" applyFill="1" applyBorder="1" applyAlignment="1" applyProtection="1">
      <alignment horizontal="center"/>
      <protection locked="0"/>
    </xf>
    <xf numFmtId="0" fontId="13" fillId="0" borderId="109" xfId="7" applyNumberFormat="1" applyFont="1" applyBorder="1" applyAlignment="1">
      <alignment horizontal="left" vertical="top"/>
    </xf>
    <xf numFmtId="0" fontId="13" fillId="0" borderId="107" xfId="9" applyNumberFormat="1" applyFont="1" applyFill="1" applyBorder="1" applyAlignment="1">
      <alignment horizontal="left" vertical="top" wrapText="1"/>
    </xf>
    <xf numFmtId="0" fontId="0" fillId="0" borderId="107" xfId="0" applyFill="1" applyBorder="1" applyProtection="1">
      <protection locked="0"/>
    </xf>
    <xf numFmtId="164" fontId="0" fillId="0" borderId="107" xfId="0" applyNumberFormat="1" applyFill="1" applyBorder="1" applyAlignment="1" applyProtection="1">
      <alignment horizontal="left"/>
      <protection locked="0"/>
    </xf>
    <xf numFmtId="0" fontId="0" fillId="0" borderId="108" xfId="0" applyFill="1" applyBorder="1" applyProtection="1">
      <protection locked="0"/>
    </xf>
    <xf numFmtId="0" fontId="0" fillId="0" borderId="107" xfId="0" applyBorder="1" applyProtection="1">
      <protection locked="0"/>
    </xf>
    <xf numFmtId="164" fontId="0" fillId="0" borderId="101" xfId="0" applyNumberFormat="1" applyBorder="1" applyAlignment="1" applyProtection="1">
      <alignment horizontal="left"/>
      <protection locked="0"/>
    </xf>
    <xf numFmtId="0" fontId="1" fillId="7" borderId="112" xfId="0" applyFont="1" applyFill="1" applyBorder="1" applyAlignment="1">
      <alignment horizontal="center" vertical="center" wrapText="1"/>
    </xf>
    <xf numFmtId="164" fontId="1" fillId="5" borderId="112" xfId="0" applyNumberFormat="1" applyFont="1" applyFill="1" applyBorder="1" applyAlignment="1">
      <alignment horizontal="center"/>
    </xf>
    <xf numFmtId="0" fontId="1" fillId="3" borderId="112" xfId="0" applyFont="1" applyFill="1" applyBorder="1" applyAlignment="1">
      <alignment horizontal="center"/>
    </xf>
    <xf numFmtId="0" fontId="1" fillId="7" borderId="112" xfId="0" applyFont="1" applyFill="1" applyBorder="1" applyAlignment="1">
      <alignment horizontal="center"/>
    </xf>
    <xf numFmtId="0" fontId="1" fillId="0" borderId="112" xfId="0" applyFont="1" applyBorder="1"/>
    <xf numFmtId="0" fontId="0" fillId="0" borderId="9" xfId="0" applyFill="1" applyBorder="1" applyProtection="1">
      <protection locked="0"/>
    </xf>
    <xf numFmtId="0" fontId="0" fillId="22" borderId="9" xfId="0" applyFill="1" applyBorder="1" applyProtection="1">
      <protection locked="0"/>
    </xf>
    <xf numFmtId="0" fontId="0" fillId="0" borderId="9" xfId="0" applyBorder="1" applyProtection="1">
      <protection locked="0"/>
    </xf>
    <xf numFmtId="164" fontId="0" fillId="0" borderId="9" xfId="0" applyNumberFormat="1" applyBorder="1" applyAlignment="1" applyProtection="1">
      <alignment horizontal="left"/>
      <protection locked="0"/>
    </xf>
    <xf numFmtId="164" fontId="0" fillId="0" borderId="76" xfId="0" applyNumberFormat="1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left"/>
      <protection locked="0"/>
    </xf>
    <xf numFmtId="0" fontId="0" fillId="0" borderId="115" xfId="0" applyFill="1" applyBorder="1" applyProtection="1">
      <protection locked="0"/>
    </xf>
    <xf numFmtId="164" fontId="0" fillId="0" borderId="115" xfId="0" applyNumberFormat="1" applyFill="1" applyBorder="1" applyAlignment="1" applyProtection="1">
      <alignment horizontal="left"/>
      <protection locked="0"/>
    </xf>
    <xf numFmtId="0" fontId="0" fillId="0" borderId="115" xfId="0" applyBorder="1" applyProtection="1">
      <protection locked="0"/>
    </xf>
    <xf numFmtId="164" fontId="0" fillId="0" borderId="115" xfId="0" applyNumberFormat="1" applyBorder="1" applyAlignment="1" applyProtection="1">
      <alignment horizontal="left"/>
      <protection locked="0"/>
    </xf>
    <xf numFmtId="0" fontId="0" fillId="0" borderId="108" xfId="0" applyBorder="1" applyProtection="1">
      <protection locked="0"/>
    </xf>
    <xf numFmtId="0" fontId="0" fillId="8" borderId="115" xfId="0" applyFill="1" applyBorder="1" applyProtection="1">
      <protection locked="0"/>
    </xf>
    <xf numFmtId="164" fontId="0" fillId="0" borderId="113" xfId="0" applyNumberFormat="1" applyBorder="1" applyAlignment="1" applyProtection="1">
      <alignment horizontal="left"/>
      <protection locked="0"/>
    </xf>
    <xf numFmtId="0" fontId="13" fillId="0" borderId="117" xfId="7" applyNumberFormat="1" applyFont="1" applyBorder="1" applyAlignment="1">
      <alignment horizontal="left" vertical="top"/>
    </xf>
    <xf numFmtId="0" fontId="13" fillId="0" borderId="118" xfId="7" applyNumberFormat="1" applyFont="1" applyBorder="1" applyAlignment="1">
      <alignment horizontal="left" vertical="top"/>
    </xf>
    <xf numFmtId="0" fontId="13" fillId="0" borderId="119" xfId="7" applyNumberFormat="1" applyFont="1" applyBorder="1" applyAlignment="1">
      <alignment horizontal="left" vertical="top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4" fontId="0" fillId="0" borderId="54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0" fontId="1" fillId="3" borderId="1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0" fillId="2" borderId="112" xfId="0" applyFont="1" applyFill="1" applyBorder="1" applyAlignment="1">
      <alignment horizontal="center"/>
    </xf>
    <xf numFmtId="3" fontId="0" fillId="2" borderId="122" xfId="0" applyNumberFormat="1" applyFill="1" applyBorder="1" applyAlignment="1" applyProtection="1">
      <alignment horizontal="center"/>
      <protection locked="0"/>
    </xf>
    <xf numFmtId="3" fontId="0" fillId="2" borderId="123" xfId="0" applyNumberFormat="1" applyFill="1" applyBorder="1" applyAlignment="1" applyProtection="1">
      <alignment horizontal="center"/>
      <protection locked="0"/>
    </xf>
    <xf numFmtId="3" fontId="0" fillId="2" borderId="121" xfId="0" applyNumberFormat="1" applyFill="1" applyBorder="1" applyAlignment="1" applyProtection="1">
      <alignment horizontal="center"/>
      <protection locked="0"/>
    </xf>
    <xf numFmtId="4" fontId="0" fillId="2" borderId="121" xfId="0" applyNumberFormat="1" applyFill="1" applyBorder="1" applyAlignment="1" applyProtection="1">
      <alignment horizontal="center"/>
      <protection locked="0"/>
    </xf>
    <xf numFmtId="4" fontId="0" fillId="2" borderId="124" xfId="0" applyNumberFormat="1" applyFill="1" applyBorder="1" applyAlignment="1" applyProtection="1">
      <alignment horizontal="center"/>
      <protection locked="0"/>
    </xf>
    <xf numFmtId="3" fontId="0" fillId="2" borderId="99" xfId="0" applyNumberFormat="1" applyFill="1" applyBorder="1" applyAlignment="1" applyProtection="1">
      <alignment horizontal="center"/>
      <protection locked="0"/>
    </xf>
    <xf numFmtId="3" fontId="0" fillId="2" borderId="93" xfId="0" applyNumberFormat="1" applyFill="1" applyBorder="1" applyAlignment="1" applyProtection="1">
      <alignment horizontal="center"/>
      <protection locked="0"/>
    </xf>
    <xf numFmtId="164" fontId="0" fillId="0" borderId="124" xfId="0" applyNumberFormat="1" applyBorder="1" applyAlignment="1">
      <alignment horizontal="center"/>
    </xf>
    <xf numFmtId="0" fontId="1" fillId="3" borderId="125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vertical="center"/>
    </xf>
    <xf numFmtId="0" fontId="1" fillId="20" borderId="30" xfId="0" applyFont="1" applyFill="1" applyBorder="1" applyAlignment="1">
      <alignment horizontal="center" vertical="center" wrapText="1"/>
    </xf>
    <xf numFmtId="3" fontId="0" fillId="0" borderId="0" xfId="0" applyNumberFormat="1"/>
    <xf numFmtId="3" fontId="1" fillId="20" borderId="81" xfId="0" applyNumberFormat="1" applyFont="1" applyFill="1" applyBorder="1" applyAlignment="1">
      <alignment horizontal="center" vertical="center" wrapText="1"/>
    </xf>
    <xf numFmtId="3" fontId="0" fillId="0" borderId="8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 wrapText="1"/>
    </xf>
    <xf numFmtId="3" fontId="0" fillId="0" borderId="12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3" xfId="0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4" fillId="0" borderId="38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0" borderId="39" xfId="0" applyNumberFormat="1" applyFont="1" applyBorder="1" applyAlignment="1">
      <alignment horizont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20" borderId="72" xfId="0" applyFont="1" applyFill="1" applyBorder="1" applyAlignment="1">
      <alignment horizontal="center" vertical="center" wrapText="1"/>
    </xf>
    <xf numFmtId="0" fontId="1" fillId="20" borderId="73" xfId="0" applyFont="1" applyFill="1" applyBorder="1" applyAlignment="1">
      <alignment horizontal="center" vertical="center" wrapText="1"/>
    </xf>
    <xf numFmtId="0" fontId="1" fillId="20" borderId="29" xfId="0" applyFont="1" applyFill="1" applyBorder="1" applyAlignment="1">
      <alignment horizontal="center" vertical="center" wrapText="1"/>
    </xf>
    <xf numFmtId="0" fontId="1" fillId="20" borderId="30" xfId="0" applyFont="1" applyFill="1" applyBorder="1" applyAlignment="1">
      <alignment horizontal="center" vertical="center" wrapText="1"/>
    </xf>
    <xf numFmtId="0" fontId="1" fillId="18" borderId="5" xfId="0" applyFont="1" applyFill="1" applyBorder="1" applyAlignment="1">
      <alignment horizontal="center" vertical="center" wrapText="1"/>
    </xf>
    <xf numFmtId="0" fontId="1" fillId="18" borderId="74" xfId="0" applyFont="1" applyFill="1" applyBorder="1" applyAlignment="1">
      <alignment horizontal="center" vertical="center" wrapText="1"/>
    </xf>
    <xf numFmtId="0" fontId="1" fillId="18" borderId="80" xfId="0" applyFont="1" applyFill="1" applyBorder="1" applyAlignment="1">
      <alignment horizontal="center" vertical="center" wrapText="1"/>
    </xf>
    <xf numFmtId="0" fontId="1" fillId="5" borderId="66" xfId="0" applyFont="1" applyFill="1" applyBorder="1" applyAlignment="1">
      <alignment horizontal="center" vertical="center" wrapText="1"/>
    </xf>
    <xf numFmtId="0" fontId="1" fillId="5" borderId="67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" fillId="5" borderId="75" xfId="0" applyFont="1" applyFill="1" applyBorder="1" applyAlignment="1">
      <alignment horizontal="center" vertical="center" wrapText="1"/>
    </xf>
    <xf numFmtId="0" fontId="1" fillId="5" borderId="76" xfId="0" applyFont="1" applyFill="1" applyBorder="1" applyAlignment="1">
      <alignment horizontal="center" vertical="center" wrapText="1"/>
    </xf>
    <xf numFmtId="0" fontId="1" fillId="5" borderId="7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6" xfId="0" applyFont="1" applyFill="1" applyBorder="1" applyAlignment="1">
      <alignment horizontal="center" vertical="center" wrapText="1"/>
    </xf>
    <xf numFmtId="0" fontId="1" fillId="4" borderId="7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9" borderId="69" xfId="0" applyFont="1" applyFill="1" applyBorder="1" applyAlignment="1">
      <alignment horizontal="center" vertical="center" wrapText="1"/>
    </xf>
    <xf numFmtId="0" fontId="1" fillId="19" borderId="70" xfId="0" applyFont="1" applyFill="1" applyBorder="1" applyAlignment="1">
      <alignment horizontal="center" vertical="center" wrapText="1"/>
    </xf>
    <xf numFmtId="0" fontId="1" fillId="19" borderId="71" xfId="0" applyFont="1" applyFill="1" applyBorder="1" applyAlignment="1">
      <alignment horizontal="center" vertical="center" wrapText="1"/>
    </xf>
    <xf numFmtId="0" fontId="1" fillId="19" borderId="50" xfId="0" applyFont="1" applyFill="1" applyBorder="1" applyAlignment="1">
      <alignment horizontal="center" vertical="center" wrapText="1"/>
    </xf>
    <xf numFmtId="0" fontId="1" fillId="19" borderId="65" xfId="0" applyFont="1" applyFill="1" applyBorder="1" applyAlignment="1">
      <alignment horizontal="center" vertical="center" wrapText="1"/>
    </xf>
    <xf numFmtId="0" fontId="1" fillId="19" borderId="79" xfId="0" applyFont="1" applyFill="1" applyBorder="1" applyAlignment="1">
      <alignment horizontal="center" vertical="center" wrapText="1"/>
    </xf>
    <xf numFmtId="0" fontId="1" fillId="7" borderId="96" xfId="0" applyFont="1" applyFill="1" applyBorder="1" applyAlignment="1">
      <alignment horizontal="center"/>
    </xf>
    <xf numFmtId="0" fontId="1" fillId="7" borderId="97" xfId="0" applyFont="1" applyFill="1" applyBorder="1" applyAlignment="1">
      <alignment horizontal="center"/>
    </xf>
    <xf numFmtId="0" fontId="1" fillId="18" borderId="9" xfId="0" applyFont="1" applyFill="1" applyBorder="1" applyAlignment="1">
      <alignment horizontal="center" vertical="center" wrapText="1"/>
    </xf>
    <xf numFmtId="0" fontId="1" fillId="6" borderId="104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wrapText="1"/>
    </xf>
    <xf numFmtId="0" fontId="0" fillId="6" borderId="20" xfId="0" applyFill="1" applyBorder="1" applyAlignment="1">
      <alignment horizontal="center" wrapText="1"/>
    </xf>
    <xf numFmtId="0" fontId="1" fillId="19" borderId="102" xfId="0" applyFont="1" applyFill="1" applyBorder="1" applyAlignment="1">
      <alignment horizontal="center" vertical="center" wrapText="1"/>
    </xf>
    <xf numFmtId="0" fontId="1" fillId="19" borderId="103" xfId="0" applyFont="1" applyFill="1" applyBorder="1" applyAlignment="1">
      <alignment horizontal="center" vertical="center" wrapText="1"/>
    </xf>
    <xf numFmtId="0" fontId="1" fillId="4" borderId="93" xfId="0" applyFont="1" applyFill="1" applyBorder="1" applyAlignment="1">
      <alignment horizontal="center" vertical="center" wrapText="1"/>
    </xf>
    <xf numFmtId="0" fontId="1" fillId="4" borderId="99" xfId="0" applyFont="1" applyFill="1" applyBorder="1" applyAlignment="1">
      <alignment horizontal="center" vertical="center" wrapText="1"/>
    </xf>
    <xf numFmtId="0" fontId="1" fillId="4" borderId="98" xfId="0" applyFont="1" applyFill="1" applyBorder="1" applyAlignment="1">
      <alignment horizontal="center" vertical="center" wrapText="1"/>
    </xf>
    <xf numFmtId="0" fontId="1" fillId="3" borderId="110" xfId="0" applyFont="1" applyFill="1" applyBorder="1" applyAlignment="1">
      <alignment horizontal="center" vertical="center" wrapText="1"/>
    </xf>
    <xf numFmtId="0" fontId="1" fillId="3" borderId="111" xfId="0" applyFont="1" applyFill="1" applyBorder="1" applyAlignment="1">
      <alignment horizontal="center" vertical="center" wrapText="1"/>
    </xf>
    <xf numFmtId="0" fontId="1" fillId="3" borderId="108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7" borderId="91" xfId="0" applyFont="1" applyFill="1" applyBorder="1" applyAlignment="1">
      <alignment horizontal="center"/>
    </xf>
    <xf numFmtId="0" fontId="1" fillId="3" borderId="10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14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 wrapText="1"/>
    </xf>
    <xf numFmtId="0" fontId="1" fillId="6" borderId="49" xfId="0" applyFont="1" applyFill="1" applyBorder="1" applyAlignment="1">
      <alignment horizontal="center" vertical="center"/>
    </xf>
    <xf numFmtId="0" fontId="1" fillId="3" borderId="11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7" borderId="93" xfId="0" applyFont="1" applyFill="1" applyBorder="1" applyAlignment="1">
      <alignment horizontal="center"/>
    </xf>
    <xf numFmtId="0" fontId="1" fillId="21" borderId="120" xfId="0" applyFont="1" applyFill="1" applyBorder="1" applyAlignment="1">
      <alignment horizontal="center"/>
    </xf>
    <xf numFmtId="0" fontId="1" fillId="21" borderId="9" xfId="0" applyFont="1" applyFill="1" applyBorder="1" applyAlignment="1">
      <alignment horizontal="center"/>
    </xf>
    <xf numFmtId="0" fontId="1" fillId="21" borderId="116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 vertical="center" wrapText="1"/>
    </xf>
    <xf numFmtId="0" fontId="1" fillId="3" borderId="126" xfId="0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129" xfId="0" applyFont="1" applyFill="1" applyBorder="1" applyAlignment="1">
      <alignment horizontal="center" vertical="center" wrapText="1"/>
    </xf>
    <xf numFmtId="0" fontId="1" fillId="3" borderId="128" xfId="0" applyFont="1" applyFill="1" applyBorder="1" applyAlignment="1">
      <alignment horizontal="center" vertical="center" wrapText="1"/>
    </xf>
    <xf numFmtId="0" fontId="1" fillId="3" borderId="131" xfId="0" applyFont="1" applyFill="1" applyBorder="1" applyAlignment="1">
      <alignment horizontal="center" vertical="center" wrapText="1"/>
    </xf>
    <xf numFmtId="0" fontId="1" fillId="3" borderId="132" xfId="0" applyFont="1" applyFill="1" applyBorder="1" applyAlignment="1">
      <alignment horizontal="center" vertical="center" wrapText="1"/>
    </xf>
    <xf numFmtId="164" fontId="0" fillId="0" borderId="113" xfId="0" applyNumberFormat="1" applyBorder="1" applyAlignment="1">
      <alignment horizontal="center"/>
    </xf>
    <xf numFmtId="164" fontId="0" fillId="0" borderId="133" xfId="0" applyNumberFormat="1" applyBorder="1" applyAlignment="1">
      <alignment horizontal="center"/>
    </xf>
    <xf numFmtId="164" fontId="0" fillId="0" borderId="127" xfId="0" applyNumberFormat="1" applyBorder="1" applyAlignment="1">
      <alignment horizontal="center"/>
    </xf>
    <xf numFmtId="164" fontId="0" fillId="0" borderId="130" xfId="0" applyNumberFormat="1" applyBorder="1" applyAlignment="1">
      <alignment horizontal="center"/>
    </xf>
    <xf numFmtId="0" fontId="13" fillId="0" borderId="109" xfId="7" applyNumberFormat="1" applyFont="1" applyFill="1" applyBorder="1" applyAlignment="1">
      <alignment horizontal="left" vertical="top"/>
    </xf>
    <xf numFmtId="4" fontId="0" fillId="22" borderId="49" xfId="0" applyNumberFormat="1" applyFill="1" applyBorder="1" applyAlignment="1" applyProtection="1">
      <alignment horizontal="center"/>
      <protection locked="0"/>
    </xf>
  </cellXfs>
  <cellStyles count="15">
    <cellStyle name="Денежный 2" xfId="2" xr:uid="{00000000-0005-0000-0000-000000000000}"/>
    <cellStyle name="Денежный 2 2" xfId="10" xr:uid="{00000000-0005-0000-0000-000001000000}"/>
    <cellStyle name="Обычный" xfId="0" builtinId="0"/>
    <cellStyle name="Обычный 2" xfId="3" xr:uid="{00000000-0005-0000-0000-000003000000}"/>
    <cellStyle name="Обычный 3" xfId="5" xr:uid="{00000000-0005-0000-0000-000004000000}"/>
    <cellStyle name="Обычный 4" xfId="1" xr:uid="{00000000-0005-0000-0000-000005000000}"/>
    <cellStyle name="Обычный 5" xfId="6" xr:uid="{00000000-0005-0000-0000-000006000000}"/>
    <cellStyle name="Обычный 5 2" xfId="11" xr:uid="{00000000-0005-0000-0000-000007000000}"/>
    <cellStyle name="Обычный 6" xfId="13" xr:uid="{00000000-0005-0000-0000-000008000000}"/>
    <cellStyle name="Обычный_График работы" xfId="4" xr:uid="{00000000-0005-0000-0000-000009000000}"/>
    <cellStyle name="Обычный_Лист1" xfId="9" xr:uid="{00000000-0005-0000-0000-00000A000000}"/>
    <cellStyle name="Обычный_Морсы" xfId="8" xr:uid="{00000000-0005-0000-0000-00000B000000}"/>
    <cellStyle name="Обычный_пельмени" xfId="12" xr:uid="{00000000-0005-0000-0000-00000C000000}"/>
    <cellStyle name="Обычный_Пирожковый" xfId="14" xr:uid="{00000000-0005-0000-0000-00000D000000}"/>
    <cellStyle name="Обычный_Торты" xfId="7" xr:uid="{00000000-0005-0000-0000-00000E000000}"/>
  </cellStyles>
  <dxfs count="129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сезонности продаж готовой продукции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[1]сезонность!$A$77</c:f>
              <c:strCache>
                <c:ptCount val="1"/>
                <c:pt idx="0">
                  <c:v>Готовая продукция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[1]сезонность!$B$76:$M$76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[1]сезонность!$B$77:$M$77</c:f>
              <c:numCache>
                <c:formatCode>General</c:formatCode>
                <c:ptCount val="12"/>
                <c:pt idx="0">
                  <c:v>0.92476614126949996</c:v>
                </c:pt>
                <c:pt idx="1">
                  <c:v>0.92175275760979236</c:v>
                </c:pt>
                <c:pt idx="2">
                  <c:v>1.060247480640361</c:v>
                </c:pt>
                <c:pt idx="3">
                  <c:v>1.0954318298456236</c:v>
                </c:pt>
                <c:pt idx="4">
                  <c:v>0.9461898277128552</c:v>
                </c:pt>
                <c:pt idx="5">
                  <c:v>0.89167569914117506</c:v>
                </c:pt>
                <c:pt idx="6">
                  <c:v>0.88809894714455395</c:v>
                </c:pt>
                <c:pt idx="7">
                  <c:v>0.92929972818976148</c:v>
                </c:pt>
                <c:pt idx="8">
                  <c:v>1.0194562551252193</c:v>
                </c:pt>
                <c:pt idx="9">
                  <c:v>1.1159536219110446</c:v>
                </c:pt>
                <c:pt idx="10">
                  <c:v>1.017728961649758</c:v>
                </c:pt>
                <c:pt idx="11">
                  <c:v>1.1893987497603584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A-4848-89CA-7F76546CB5ED}"/>
            </c:ext>
          </c:extLst>
        </c:ser>
        <c:ser>
          <c:idx val="1"/>
          <c:order val="1"/>
          <c:tx>
            <c:strRef>
              <c:f>[1]сезонность!$A$78</c:f>
              <c:strCache>
                <c:ptCount val="1"/>
                <c:pt idx="0">
                  <c:v>Кондитерские изделия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[1]сезонность!$B$76:$M$76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[1]сезонность!$B$78:$M$78</c:f>
              <c:numCache>
                <c:formatCode>General</c:formatCode>
                <c:ptCount val="12"/>
                <c:pt idx="0">
                  <c:v>0.94627800528990158</c:v>
                </c:pt>
                <c:pt idx="1">
                  <c:v>0.9719368443574592</c:v>
                </c:pt>
                <c:pt idx="2">
                  <c:v>1.0722173826851034</c:v>
                </c:pt>
                <c:pt idx="3">
                  <c:v>1.2066090356914121</c:v>
                </c:pt>
                <c:pt idx="4">
                  <c:v>0.8908018411976415</c:v>
                </c:pt>
                <c:pt idx="5">
                  <c:v>0.8467195722464792</c:v>
                </c:pt>
                <c:pt idx="6">
                  <c:v>0.84307008934887551</c:v>
                </c:pt>
                <c:pt idx="7">
                  <c:v>0.87296622879386299</c:v>
                </c:pt>
                <c:pt idx="8">
                  <c:v>0.98296902141735365</c:v>
                </c:pt>
                <c:pt idx="9">
                  <c:v>1.0804765399337053</c:v>
                </c:pt>
                <c:pt idx="10">
                  <c:v>0.99680117753662045</c:v>
                </c:pt>
                <c:pt idx="11">
                  <c:v>1.289154261501585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A-4848-89CA-7F76546CB5ED}"/>
            </c:ext>
          </c:extLst>
        </c:ser>
        <c:ser>
          <c:idx val="2"/>
          <c:order val="2"/>
          <c:tx>
            <c:strRef>
              <c:f>[1]сезонность!$A$103</c:f>
              <c:strCache>
                <c:ptCount val="1"/>
                <c:pt idx="0">
                  <c:v>Кулинарные изделия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[1]сезонность!$B$76:$M$76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[1]сезонность!$B$103:$M$103</c:f>
              <c:numCache>
                <c:formatCode>General</c:formatCode>
                <c:ptCount val="12"/>
                <c:pt idx="0">
                  <c:v>0.87494235332166248</c:v>
                </c:pt>
                <c:pt idx="1">
                  <c:v>0.89075841254544053</c:v>
                </c:pt>
                <c:pt idx="2">
                  <c:v>1.0642720398655623</c:v>
                </c:pt>
                <c:pt idx="3">
                  <c:v>1.0318845466941444</c:v>
                </c:pt>
                <c:pt idx="4">
                  <c:v>0.98862455801268234</c:v>
                </c:pt>
                <c:pt idx="5">
                  <c:v>0.90592948491350656</c:v>
                </c:pt>
                <c:pt idx="6">
                  <c:v>0.91538697567600902</c:v>
                </c:pt>
                <c:pt idx="7">
                  <c:v>0.98065776464694621</c:v>
                </c:pt>
                <c:pt idx="8">
                  <c:v>1.0486046827300681</c:v>
                </c:pt>
                <c:pt idx="9">
                  <c:v>1.128234426330267</c:v>
                </c:pt>
                <c:pt idx="10">
                  <c:v>1.0249260855662738</c:v>
                </c:pt>
                <c:pt idx="11">
                  <c:v>1.1457786696974366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BA-4848-89CA-7F76546CB5ED}"/>
            </c:ext>
          </c:extLst>
        </c:ser>
        <c:ser>
          <c:idx val="3"/>
          <c:order val="3"/>
          <c:tx>
            <c:strRef>
              <c:f>[1]сезонность!$A$129</c:f>
              <c:strCache>
                <c:ptCount val="1"/>
                <c:pt idx="0">
                  <c:v>Выпечка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[1]сезонность!$B$76:$M$76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[1]сезонность!$B$129:$M$129</c:f>
              <c:numCache>
                <c:formatCode>General</c:formatCode>
                <c:ptCount val="12"/>
                <c:pt idx="0">
                  <c:v>1.0294789789341616</c:v>
                </c:pt>
                <c:pt idx="1">
                  <c:v>0.93655906673532952</c:v>
                </c:pt>
                <c:pt idx="2">
                  <c:v>1.0708224185077491</c:v>
                </c:pt>
                <c:pt idx="3">
                  <c:v>1.0420685249593169</c:v>
                </c:pt>
                <c:pt idx="4">
                  <c:v>1.0024043661300575</c:v>
                </c:pt>
                <c:pt idx="5">
                  <c:v>0.9205981863463083</c:v>
                </c:pt>
                <c:pt idx="6">
                  <c:v>0.90034339185834866</c:v>
                </c:pt>
                <c:pt idx="7">
                  <c:v>0.91533397678455908</c:v>
                </c:pt>
                <c:pt idx="8">
                  <c:v>1.0008479633442362</c:v>
                </c:pt>
                <c:pt idx="9">
                  <c:v>1.1211413276808289</c:v>
                </c:pt>
                <c:pt idx="10">
                  <c:v>1.013941762864351</c:v>
                </c:pt>
                <c:pt idx="11">
                  <c:v>1.0464600358547522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BA-4848-89CA-7F76546CB5ED}"/>
            </c:ext>
          </c:extLst>
        </c:ser>
        <c:ser>
          <c:idx val="4"/>
          <c:order val="4"/>
          <c:tx>
            <c:strRef>
              <c:f>[1]сезонность!$A$141</c:f>
              <c:strCache>
                <c:ptCount val="1"/>
                <c:pt idx="0">
                  <c:v>Напитки собственного производства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[1]сезонность!$B$76:$M$76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[1]сезонность!$B$141:$M$141</c:f>
              <c:numCache>
                <c:formatCode>General</c:formatCode>
                <c:ptCount val="12"/>
                <c:pt idx="0">
                  <c:v>0.77956197486484169</c:v>
                </c:pt>
                <c:pt idx="1">
                  <c:v>0.76687267343714538</c:v>
                </c:pt>
                <c:pt idx="2">
                  <c:v>0.95902354387433641</c:v>
                </c:pt>
                <c:pt idx="3">
                  <c:v>0.92355856124738844</c:v>
                </c:pt>
                <c:pt idx="4">
                  <c:v>0.93030942791576654</c:v>
                </c:pt>
                <c:pt idx="5">
                  <c:v>0.99263780120937184</c:v>
                </c:pt>
                <c:pt idx="6">
                  <c:v>0.97731529290248553</c:v>
                </c:pt>
                <c:pt idx="7">
                  <c:v>1.0404688223235874</c:v>
                </c:pt>
                <c:pt idx="8">
                  <c:v>1.1297354681774197</c:v>
                </c:pt>
                <c:pt idx="9">
                  <c:v>1.2286373493210467</c:v>
                </c:pt>
                <c:pt idx="10">
                  <c:v>1.0978964964616522</c:v>
                </c:pt>
                <c:pt idx="11">
                  <c:v>1.1739825882649595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BA-4848-89CA-7F76546CB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194872"/>
        <c:axId val="181195264"/>
      </c:lineChart>
      <c:catAx>
        <c:axId val="18119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195264"/>
        <c:crosses val="autoZero"/>
        <c:auto val="1"/>
        <c:lblAlgn val="ctr"/>
        <c:lblOffset val="100"/>
        <c:noMultiLvlLbl val="0"/>
      </c:catAx>
      <c:valAx>
        <c:axId val="18119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19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147</xdr:row>
      <xdr:rowOff>0</xdr:rowOff>
    </xdr:from>
    <xdr:to>
      <xdr:col>9</xdr:col>
      <xdr:colOff>447675</xdr:colOff>
      <xdr:row>173</xdr:row>
      <xdr:rowOff>57150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8A1B0BA0-B0E4-4F5C-B52C-D760E1A9D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aso/AppData/Local/Microsoft/Windows/Temporary%20Internet%20Files/Content.Outlook/VT0IULJF/&#1055;&#1083;&#1072;&#1085;%20&#1087;&#1088;&#1086;&#1080;&#1079;&#1074;&#1086;&#1076;&#1089;&#1090;&#1074;&#1072;%20&#1085;&#1072;%20&#1084;&#1077;&#1089;&#1103;&#1094;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План"/>
      <sheetName val="Факт"/>
      <sheetName val="сезонность"/>
    </sheetNames>
    <sheetDataSet>
      <sheetData sheetId="0"/>
      <sheetData sheetId="1"/>
      <sheetData sheetId="2"/>
      <sheetData sheetId="3">
        <row r="76">
          <cell r="B76" t="str">
            <v>янв</v>
          </cell>
          <cell r="C76" t="str">
            <v>фев</v>
          </cell>
          <cell r="D76" t="str">
            <v>мар</v>
          </cell>
          <cell r="E76" t="str">
            <v>апр</v>
          </cell>
          <cell r="F76" t="str">
            <v>май</v>
          </cell>
          <cell r="G76" t="str">
            <v>июн</v>
          </cell>
          <cell r="H76" t="str">
            <v>июл</v>
          </cell>
          <cell r="I76" t="str">
            <v>авг</v>
          </cell>
          <cell r="J76" t="str">
            <v>сен</v>
          </cell>
          <cell r="K76" t="str">
            <v>окт</v>
          </cell>
          <cell r="L76" t="str">
            <v>ноя</v>
          </cell>
          <cell r="M76" t="str">
            <v>дек</v>
          </cell>
        </row>
        <row r="77">
          <cell r="A77" t="str">
            <v>Готовая продукция</v>
          </cell>
          <cell r="B77">
            <v>0.92476614126949996</v>
          </cell>
          <cell r="C77">
            <v>0.92175275760979236</v>
          </cell>
          <cell r="D77">
            <v>1.060247480640361</v>
          </cell>
          <cell r="E77">
            <v>1.0954318298456236</v>
          </cell>
          <cell r="F77">
            <v>0.9461898277128552</v>
          </cell>
          <cell r="G77">
            <v>0.89167569914117506</v>
          </cell>
          <cell r="H77">
            <v>0.88809894714455395</v>
          </cell>
          <cell r="I77">
            <v>0.92929972818976148</v>
          </cell>
          <cell r="J77">
            <v>1.0194562551252193</v>
          </cell>
          <cell r="K77">
            <v>1.1159536219110446</v>
          </cell>
          <cell r="L77">
            <v>1.017728961649758</v>
          </cell>
          <cell r="M77">
            <v>1.1893987497603584</v>
          </cell>
        </row>
        <row r="78">
          <cell r="A78" t="str">
            <v>Кондитерские изделия</v>
          </cell>
          <cell r="B78">
            <v>0.94627800528990158</v>
          </cell>
          <cell r="C78">
            <v>0.9719368443574592</v>
          </cell>
          <cell r="D78">
            <v>1.0722173826851034</v>
          </cell>
          <cell r="E78">
            <v>1.2066090356914121</v>
          </cell>
          <cell r="F78">
            <v>0.8908018411976415</v>
          </cell>
          <cell r="G78">
            <v>0.8467195722464792</v>
          </cell>
          <cell r="H78">
            <v>0.84307008934887551</v>
          </cell>
          <cell r="I78">
            <v>0.87296622879386299</v>
          </cell>
          <cell r="J78">
            <v>0.98296902141735365</v>
          </cell>
          <cell r="K78">
            <v>1.0804765399337053</v>
          </cell>
          <cell r="L78">
            <v>0.99680117753662045</v>
          </cell>
          <cell r="M78">
            <v>1.289154261501585</v>
          </cell>
        </row>
        <row r="103">
          <cell r="A103" t="str">
            <v>Кулинарные изделия</v>
          </cell>
          <cell r="B103">
            <v>0.87494235332166248</v>
          </cell>
          <cell r="C103">
            <v>0.89075841254544053</v>
          </cell>
          <cell r="D103">
            <v>1.0642720398655623</v>
          </cell>
          <cell r="E103">
            <v>1.0318845466941444</v>
          </cell>
          <cell r="F103">
            <v>0.98862455801268234</v>
          </cell>
          <cell r="G103">
            <v>0.90592948491350656</v>
          </cell>
          <cell r="H103">
            <v>0.91538697567600902</v>
          </cell>
          <cell r="I103">
            <v>0.98065776464694621</v>
          </cell>
          <cell r="J103">
            <v>1.0486046827300681</v>
          </cell>
          <cell r="K103">
            <v>1.128234426330267</v>
          </cell>
          <cell r="L103">
            <v>1.0249260855662738</v>
          </cell>
          <cell r="M103">
            <v>1.1457786696974366</v>
          </cell>
        </row>
        <row r="129">
          <cell r="A129" t="str">
            <v>Выпечка</v>
          </cell>
          <cell r="B129">
            <v>1.0294789789341616</v>
          </cell>
          <cell r="C129">
            <v>0.93655906673532952</v>
          </cell>
          <cell r="D129">
            <v>1.0708224185077491</v>
          </cell>
          <cell r="E129">
            <v>1.0420685249593169</v>
          </cell>
          <cell r="F129">
            <v>1.0024043661300575</v>
          </cell>
          <cell r="G129">
            <v>0.9205981863463083</v>
          </cell>
          <cell r="H129">
            <v>0.90034339185834866</v>
          </cell>
          <cell r="I129">
            <v>0.91533397678455908</v>
          </cell>
          <cell r="J129">
            <v>1.0008479633442362</v>
          </cell>
          <cell r="K129">
            <v>1.1211413276808289</v>
          </cell>
          <cell r="L129">
            <v>1.013941762864351</v>
          </cell>
          <cell r="M129">
            <v>1.0464600358547522</v>
          </cell>
        </row>
        <row r="141">
          <cell r="A141" t="str">
            <v>Напитки собственного производства</v>
          </cell>
          <cell r="B141">
            <v>0.77956197486484169</v>
          </cell>
          <cell r="C141">
            <v>0.76687267343714538</v>
          </cell>
          <cell r="D141">
            <v>0.95902354387433641</v>
          </cell>
          <cell r="E141">
            <v>0.92355856124738844</v>
          </cell>
          <cell r="F141">
            <v>0.93030942791576654</v>
          </cell>
          <cell r="G141">
            <v>0.99263780120937184</v>
          </cell>
          <cell r="H141">
            <v>0.97731529290248553</v>
          </cell>
          <cell r="I141">
            <v>1.0404688223235874</v>
          </cell>
          <cell r="J141">
            <v>1.1297354681774197</v>
          </cell>
          <cell r="K141">
            <v>1.2286373493210467</v>
          </cell>
          <cell r="L141">
            <v>1.0978964964616522</v>
          </cell>
          <cell r="M141">
            <v>1.1739825882649595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D49"/>
  <sheetViews>
    <sheetView workbookViewId="0">
      <pane xSplit="1" ySplit="7" topLeftCell="AQ8" activePane="bottomRight" state="frozen"/>
      <selection pane="topRight" activeCell="B1" sqref="B1"/>
      <selection pane="bottomLeft" activeCell="A6" sqref="A6"/>
      <selection pane="bottomRight" activeCell="BN31" sqref="BN31"/>
    </sheetView>
  </sheetViews>
  <sheetFormatPr defaultRowHeight="15" outlineLevelCol="1" x14ac:dyDescent="0.25"/>
  <cols>
    <col min="1" max="1" width="38" customWidth="1"/>
    <col min="2" max="2" width="8.28515625" customWidth="1"/>
    <col min="3" max="5" width="8.7109375" customWidth="1"/>
    <col min="6" max="6" width="9.7109375" customWidth="1"/>
    <col min="7" max="7" width="8.7109375" customWidth="1"/>
    <col min="8" max="8" width="9.28515625" customWidth="1"/>
    <col min="9" max="10" width="9.7109375" customWidth="1"/>
    <col min="11" max="11" width="12" customWidth="1"/>
    <col min="12" max="12" width="9.7109375" customWidth="1"/>
    <col min="13" max="13" width="11.7109375" customWidth="1"/>
    <col min="14" max="14" width="10.140625" customWidth="1" outlineLevel="1"/>
    <col min="15" max="15" width="10.42578125" customWidth="1" outlineLevel="1"/>
    <col min="16" max="17" width="9.140625" customWidth="1" outlineLevel="1"/>
    <col min="18" max="18" width="15.7109375" customWidth="1"/>
    <col min="19" max="49" width="4.85546875" style="2" customWidth="1"/>
    <col min="50" max="50" width="6.28515625" customWidth="1"/>
    <col min="51" max="51" width="6.28515625" style="330" customWidth="1"/>
    <col min="52" max="52" width="9.7109375" customWidth="1"/>
    <col min="60" max="60" width="11.28515625" customWidth="1"/>
  </cols>
  <sheetData>
    <row r="1" spans="1:82" ht="19.5" thickBot="1" x14ac:dyDescent="0.35">
      <c r="A1" s="51" t="s">
        <v>8</v>
      </c>
      <c r="I1" s="25" t="s">
        <v>4</v>
      </c>
      <c r="J1" s="42">
        <v>5</v>
      </c>
      <c r="K1" s="42">
        <v>3</v>
      </c>
      <c r="L1" s="58" t="s">
        <v>83</v>
      </c>
      <c r="BA1" s="181"/>
      <c r="BB1" s="202" t="s">
        <v>296</v>
      </c>
      <c r="BC1" s="203">
        <f ca="1">TODAY()</f>
        <v>43371</v>
      </c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CD1" s="2" t="s">
        <v>414</v>
      </c>
    </row>
    <row r="2" spans="1:82" ht="19.5" thickBot="1" x14ac:dyDescent="0.35">
      <c r="A2" s="233">
        <v>43374</v>
      </c>
      <c r="I2" s="25" t="s">
        <v>2</v>
      </c>
      <c r="J2" s="43">
        <v>11</v>
      </c>
      <c r="BA2" s="181"/>
      <c r="BB2" s="202" t="s">
        <v>297</v>
      </c>
      <c r="BC2" s="204">
        <f ca="1">BC1-A2</f>
        <v>-3</v>
      </c>
      <c r="BD2" s="181"/>
      <c r="BE2" s="392" t="s">
        <v>416</v>
      </c>
      <c r="BF2" s="181"/>
      <c r="BG2" s="181"/>
      <c r="BH2" s="181"/>
      <c r="BI2" s="181"/>
      <c r="BJ2" s="181"/>
      <c r="BK2" s="181"/>
      <c r="BL2" s="181"/>
      <c r="BM2" s="181"/>
      <c r="BN2" s="181"/>
      <c r="CD2" s="2" t="s">
        <v>415</v>
      </c>
    </row>
    <row r="3" spans="1:82" ht="16.5" thickBot="1" x14ac:dyDescent="0.3">
      <c r="A3" s="322" t="s">
        <v>378</v>
      </c>
      <c r="I3" s="25" t="s">
        <v>61</v>
      </c>
      <c r="J3" s="42">
        <v>3.2</v>
      </c>
      <c r="BA3" s="181"/>
      <c r="BB3" s="202" t="s">
        <v>298</v>
      </c>
      <c r="BC3" s="204">
        <f ca="1">J4-BC2</f>
        <v>34</v>
      </c>
      <c r="BD3" s="181"/>
      <c r="BE3" s="393" t="s">
        <v>415</v>
      </c>
      <c r="BF3" s="181"/>
      <c r="BG3" s="181"/>
      <c r="BH3" s="181"/>
      <c r="BI3" s="181"/>
      <c r="BJ3" s="181"/>
      <c r="BK3" s="181"/>
      <c r="BL3" s="181"/>
      <c r="BM3" s="181"/>
      <c r="BN3" s="181"/>
    </row>
    <row r="4" spans="1:82" ht="19.5" thickBot="1" x14ac:dyDescent="0.35">
      <c r="A4" s="11"/>
      <c r="I4" s="25" t="s">
        <v>78</v>
      </c>
      <c r="J4" s="43">
        <v>31</v>
      </c>
      <c r="BA4" s="113" t="s">
        <v>311</v>
      </c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</row>
    <row r="5" spans="1:82" ht="16.5" customHeight="1" thickTop="1" thickBot="1" x14ac:dyDescent="0.3">
      <c r="A5" s="429" t="s">
        <v>318</v>
      </c>
      <c r="B5" s="425" t="s">
        <v>60</v>
      </c>
      <c r="C5" s="426"/>
      <c r="D5" s="426"/>
      <c r="E5" s="426"/>
      <c r="F5" s="426"/>
      <c r="G5" s="426"/>
      <c r="H5" s="426"/>
      <c r="I5" s="426"/>
      <c r="J5" s="426"/>
      <c r="K5" s="426"/>
      <c r="L5" s="438" t="s">
        <v>75</v>
      </c>
      <c r="M5" s="439"/>
      <c r="N5" s="422" t="s">
        <v>84</v>
      </c>
      <c r="O5" s="423"/>
      <c r="P5" s="423"/>
      <c r="Q5" s="424"/>
      <c r="R5" s="472" t="s">
        <v>71</v>
      </c>
      <c r="S5" s="469" t="s">
        <v>59</v>
      </c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1"/>
      <c r="AX5" s="466" t="s">
        <v>380</v>
      </c>
      <c r="AY5" s="467"/>
      <c r="BA5" s="446" t="s">
        <v>299</v>
      </c>
      <c r="BB5" s="449" t="s">
        <v>300</v>
      </c>
      <c r="BC5" s="450"/>
      <c r="BD5" s="451"/>
      <c r="BE5" s="455" t="s">
        <v>301</v>
      </c>
      <c r="BF5" s="455"/>
      <c r="BG5" s="456"/>
      <c r="BH5" s="459" t="s">
        <v>302</v>
      </c>
      <c r="BI5" s="460" t="s">
        <v>303</v>
      </c>
      <c r="BJ5" s="461"/>
      <c r="BK5" s="462"/>
      <c r="BL5" s="468" t="str">
        <f ca="1">CONCATENATE("План пр-ва с ", BC2+1," по ", J4, "-е, кг")</f>
        <v>План пр-ва с -2 по 31-е, кг</v>
      </c>
      <c r="BM5" s="442" t="s">
        <v>348</v>
      </c>
      <c r="BN5" s="443"/>
    </row>
    <row r="6" spans="1:82" s="3" customFormat="1" ht="15" customHeight="1" thickTop="1" x14ac:dyDescent="0.25">
      <c r="A6" s="430"/>
      <c r="B6" s="432" t="s">
        <v>11</v>
      </c>
      <c r="C6" s="427" t="s">
        <v>233</v>
      </c>
      <c r="D6" s="428"/>
      <c r="E6" s="428"/>
      <c r="F6" s="508" t="s">
        <v>234</v>
      </c>
      <c r="G6" s="441"/>
      <c r="H6" s="434" t="s">
        <v>9</v>
      </c>
      <c r="I6" s="433" t="s">
        <v>70</v>
      </c>
      <c r="J6" s="432"/>
      <c r="K6" s="427" t="s">
        <v>73</v>
      </c>
      <c r="L6" s="436" t="s">
        <v>58</v>
      </c>
      <c r="M6" s="437" t="s">
        <v>74</v>
      </c>
      <c r="N6" s="421" t="s">
        <v>90</v>
      </c>
      <c r="O6" s="440" t="s">
        <v>91</v>
      </c>
      <c r="P6" s="440" t="s">
        <v>92</v>
      </c>
      <c r="Q6" s="420" t="s">
        <v>85</v>
      </c>
      <c r="R6" s="473"/>
      <c r="S6" s="334" t="str">
        <f ca="1">IF(S7&gt;$BC$2, "пл", "ф")</f>
        <v>пл</v>
      </c>
      <c r="T6" s="335" t="str">
        <f t="shared" ref="T6:AW6" ca="1" si="0">IF(T7&gt;$BC$2, "пл", "ф")</f>
        <v>пл</v>
      </c>
      <c r="U6" s="335" t="str">
        <f t="shared" ca="1" si="0"/>
        <v>пл</v>
      </c>
      <c r="V6" s="335" t="str">
        <f t="shared" ca="1" si="0"/>
        <v>пл</v>
      </c>
      <c r="W6" s="335" t="str">
        <f t="shared" ca="1" si="0"/>
        <v>пл</v>
      </c>
      <c r="X6" s="335" t="str">
        <f t="shared" ca="1" si="0"/>
        <v>пл</v>
      </c>
      <c r="Y6" s="335" t="str">
        <f t="shared" ca="1" si="0"/>
        <v>пл</v>
      </c>
      <c r="Z6" s="335" t="str">
        <f t="shared" ca="1" si="0"/>
        <v>пл</v>
      </c>
      <c r="AA6" s="335" t="str">
        <f t="shared" ca="1" si="0"/>
        <v>пл</v>
      </c>
      <c r="AB6" s="335" t="str">
        <f t="shared" ca="1" si="0"/>
        <v>пл</v>
      </c>
      <c r="AC6" s="335" t="str">
        <f t="shared" ca="1" si="0"/>
        <v>пл</v>
      </c>
      <c r="AD6" s="335" t="str">
        <f t="shared" ca="1" si="0"/>
        <v>пл</v>
      </c>
      <c r="AE6" s="335" t="str">
        <f t="shared" ca="1" si="0"/>
        <v>пл</v>
      </c>
      <c r="AF6" s="335" t="str">
        <f t="shared" ca="1" si="0"/>
        <v>пл</v>
      </c>
      <c r="AG6" s="335" t="str">
        <f t="shared" ca="1" si="0"/>
        <v>пл</v>
      </c>
      <c r="AH6" s="335" t="str">
        <f t="shared" ca="1" si="0"/>
        <v>пл</v>
      </c>
      <c r="AI6" s="335" t="str">
        <f t="shared" ca="1" si="0"/>
        <v>пл</v>
      </c>
      <c r="AJ6" s="335" t="str">
        <f t="shared" ca="1" si="0"/>
        <v>пл</v>
      </c>
      <c r="AK6" s="335" t="str">
        <f t="shared" ca="1" si="0"/>
        <v>пл</v>
      </c>
      <c r="AL6" s="335" t="str">
        <f t="shared" ca="1" si="0"/>
        <v>пл</v>
      </c>
      <c r="AM6" s="335" t="str">
        <f t="shared" ca="1" si="0"/>
        <v>пл</v>
      </c>
      <c r="AN6" s="335" t="str">
        <f t="shared" ca="1" si="0"/>
        <v>пл</v>
      </c>
      <c r="AO6" s="335" t="str">
        <f t="shared" ca="1" si="0"/>
        <v>пл</v>
      </c>
      <c r="AP6" s="335" t="str">
        <f t="shared" ca="1" si="0"/>
        <v>пл</v>
      </c>
      <c r="AQ6" s="335" t="str">
        <f t="shared" ca="1" si="0"/>
        <v>пл</v>
      </c>
      <c r="AR6" s="335" t="str">
        <f t="shared" ca="1" si="0"/>
        <v>пл</v>
      </c>
      <c r="AS6" s="335" t="str">
        <f t="shared" ca="1" si="0"/>
        <v>пл</v>
      </c>
      <c r="AT6" s="335" t="str">
        <f t="shared" ca="1" si="0"/>
        <v>пл</v>
      </c>
      <c r="AU6" s="335" t="str">
        <f t="shared" ca="1" si="0"/>
        <v>пл</v>
      </c>
      <c r="AV6" s="335" t="str">
        <f t="shared" ca="1" si="0"/>
        <v>пл</v>
      </c>
      <c r="AW6" s="336" t="str">
        <f t="shared" ca="1" si="0"/>
        <v>пл</v>
      </c>
      <c r="AX6" s="307" t="s">
        <v>351</v>
      </c>
      <c r="AY6" s="308" t="s">
        <v>352</v>
      </c>
      <c r="BA6" s="447"/>
      <c r="BB6" s="452"/>
      <c r="BC6" s="453"/>
      <c r="BD6" s="454"/>
      <c r="BE6" s="457"/>
      <c r="BF6" s="457"/>
      <c r="BG6" s="458"/>
      <c r="BH6" s="459"/>
      <c r="BI6" s="463"/>
      <c r="BJ6" s="464"/>
      <c r="BK6" s="465"/>
      <c r="BL6" s="468"/>
      <c r="BM6" s="444"/>
      <c r="BN6" s="445"/>
    </row>
    <row r="7" spans="1:82" s="3" customFormat="1" ht="32.25" customHeight="1" x14ac:dyDescent="0.25">
      <c r="A7" s="431"/>
      <c r="B7" s="432"/>
      <c r="C7" s="56" t="s">
        <v>86</v>
      </c>
      <c r="D7" s="56" t="s">
        <v>87</v>
      </c>
      <c r="E7" s="56" t="s">
        <v>88</v>
      </c>
      <c r="F7" s="507" t="s">
        <v>417</v>
      </c>
      <c r="G7" s="87" t="s">
        <v>235</v>
      </c>
      <c r="H7" s="435"/>
      <c r="I7" s="15" t="s">
        <v>0</v>
      </c>
      <c r="J7" s="4" t="s">
        <v>1</v>
      </c>
      <c r="K7" s="427"/>
      <c r="L7" s="436"/>
      <c r="M7" s="437"/>
      <c r="N7" s="421"/>
      <c r="O7" s="440"/>
      <c r="P7" s="440"/>
      <c r="Q7" s="420"/>
      <c r="R7" s="473"/>
      <c r="S7" s="166">
        <v>1</v>
      </c>
      <c r="T7" s="100">
        <v>2</v>
      </c>
      <c r="U7" s="16">
        <v>3</v>
      </c>
      <c r="V7" s="16">
        <v>4</v>
      </c>
      <c r="W7" s="57">
        <v>5</v>
      </c>
      <c r="X7" s="60">
        <v>6</v>
      </c>
      <c r="Y7" s="57">
        <v>7</v>
      </c>
      <c r="Z7" s="100">
        <v>8</v>
      </c>
      <c r="AA7" s="100">
        <v>9</v>
      </c>
      <c r="AB7" s="60">
        <v>10</v>
      </c>
      <c r="AC7" s="60">
        <v>11</v>
      </c>
      <c r="AD7" s="57">
        <v>12</v>
      </c>
      <c r="AE7" s="60">
        <v>13</v>
      </c>
      <c r="AF7" s="57">
        <v>14</v>
      </c>
      <c r="AG7" s="100">
        <v>15</v>
      </c>
      <c r="AH7" s="100">
        <v>16</v>
      </c>
      <c r="AI7" s="16">
        <v>17</v>
      </c>
      <c r="AJ7" s="16">
        <v>18</v>
      </c>
      <c r="AK7" s="57">
        <v>19</v>
      </c>
      <c r="AL7" s="16">
        <v>20</v>
      </c>
      <c r="AM7" s="57">
        <v>21</v>
      </c>
      <c r="AN7" s="100">
        <v>22</v>
      </c>
      <c r="AO7" s="100">
        <v>23</v>
      </c>
      <c r="AP7" s="16">
        <v>24</v>
      </c>
      <c r="AQ7" s="16">
        <v>25</v>
      </c>
      <c r="AR7" s="57">
        <v>26</v>
      </c>
      <c r="AS7" s="16">
        <v>27</v>
      </c>
      <c r="AT7" s="57">
        <v>28</v>
      </c>
      <c r="AU7" s="100">
        <v>29</v>
      </c>
      <c r="AV7" s="100">
        <v>30</v>
      </c>
      <c r="AW7" s="16">
        <v>31</v>
      </c>
      <c r="AX7" s="309" t="s">
        <v>357</v>
      </c>
      <c r="AY7" s="310" t="s">
        <v>358</v>
      </c>
      <c r="BA7" s="448"/>
      <c r="BB7" s="205" t="s">
        <v>304</v>
      </c>
      <c r="BC7" s="206" t="s">
        <v>305</v>
      </c>
      <c r="BD7" s="207" t="s">
        <v>306</v>
      </c>
      <c r="BE7" s="208" t="s">
        <v>304</v>
      </c>
      <c r="BF7" s="209" t="s">
        <v>305</v>
      </c>
      <c r="BG7" s="209" t="s">
        <v>307</v>
      </c>
      <c r="BH7" s="459"/>
      <c r="BI7" s="210" t="s">
        <v>305</v>
      </c>
      <c r="BJ7" s="211" t="s">
        <v>306</v>
      </c>
      <c r="BK7" s="212" t="s">
        <v>308</v>
      </c>
      <c r="BL7" s="468"/>
      <c r="BM7" s="407" t="s">
        <v>419</v>
      </c>
      <c r="BN7" s="405" t="s">
        <v>418</v>
      </c>
    </row>
    <row r="8" spans="1:82" s="6" customFormat="1" x14ac:dyDescent="0.25">
      <c r="A8" s="237" t="s">
        <v>52</v>
      </c>
      <c r="B8" s="389">
        <v>0.5</v>
      </c>
      <c r="C8" s="156"/>
      <c r="D8" s="156"/>
      <c r="E8" s="156"/>
      <c r="F8" s="394"/>
      <c r="G8" s="160"/>
      <c r="H8" s="76">
        <f>IF($BE$3="да",AX8+AY8,IF((SUM(C8:E8)-F8+G8)&lt;0,0,SUM(C8:E8)-F8+G8))*B8</f>
        <v>0</v>
      </c>
      <c r="I8" s="34">
        <f t="shared" ref="I8:I25" si="1">IFERROR(H8/$J$3,0)</f>
        <v>0</v>
      </c>
      <c r="J8" s="5">
        <f t="shared" ref="J8:J24" si="2">IFERROR(ROUND(I8/$J$2,0),0)</f>
        <v>0</v>
      </c>
      <c r="K8" s="61"/>
      <c r="L8" s="70"/>
      <c r="M8" s="71" t="str">
        <f t="shared" ref="M8:M25" si="3">IFERROR(L8/H8,"")</f>
        <v/>
      </c>
      <c r="N8" s="68">
        <f>IF(O8=0,0.0001,IFERROR(O8/$J$2,0.0001))</f>
        <v>3.6363636363636362</v>
      </c>
      <c r="O8" s="66">
        <v>40</v>
      </c>
      <c r="P8" s="66">
        <f t="shared" ref="P8:P24" si="4">O8*$K$1</f>
        <v>120</v>
      </c>
      <c r="Q8" s="67">
        <f>IFERROR(R8/P8,0)</f>
        <v>0</v>
      </c>
      <c r="R8" s="26">
        <f>IF($BE$3="да", BM8, H8-SUM(S8:AW8))</f>
        <v>0</v>
      </c>
      <c r="S8" s="44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311">
        <f t="shared" ref="AX8:AX11" ca="1" si="5">SUMIFS(S8:AW8,$S$6:$AW$6,"ф")</f>
        <v>0</v>
      </c>
      <c r="AY8" s="312">
        <f t="shared" ref="AY8:AY11" ca="1" si="6">SUMIFS(S8:AW8,$S$6:$AW$6,"пл")</f>
        <v>0</v>
      </c>
      <c r="BA8" s="61">
        <f>IFERROR(SUM(C8:E8)*B8/$J$4,0)</f>
        <v>0</v>
      </c>
      <c r="BB8" s="214"/>
      <c r="BC8" s="215">
        <f>BB8*B8</f>
        <v>0</v>
      </c>
      <c r="BD8" s="216">
        <f ca="1">IFERROR(BC8/$BC$2,0)</f>
        <v>0</v>
      </c>
      <c r="BE8" s="217"/>
      <c r="BF8" s="215">
        <f>BE8*B8</f>
        <v>0</v>
      </c>
      <c r="BG8" s="215">
        <f ca="1">IFERROR(BF8/BD8,0)</f>
        <v>0</v>
      </c>
      <c r="BH8" s="61">
        <f>G8</f>
        <v>0</v>
      </c>
      <c r="BI8" s="218">
        <f ca="1">IF(BD8*$BC$3-BF8+BH8*B8&lt;0,0,BD8*$BC$3-BF8+BH8*B8)</f>
        <v>0</v>
      </c>
      <c r="BJ8" s="215">
        <f ca="1">IFERROR(BI8/$BC$3,0)</f>
        <v>0</v>
      </c>
      <c r="BK8" s="216">
        <f ca="1">IFERROR(BJ8/B8,0)</f>
        <v>0</v>
      </c>
      <c r="BL8" s="219">
        <f ca="1">SUMIFS(S8:AW8,$S$6:$AW$6,"пл")</f>
        <v>0</v>
      </c>
      <c r="BM8" s="220">
        <f ca="1">IF(BI8&lt;0,BL8*-1, BI8-BL8)</f>
        <v>0</v>
      </c>
      <c r="BN8" s="221">
        <f ca="1">IFERROR(ROUND(BD8*($BC$3+$BC$2)/B8-SUM(C8:E8), 1),0)</f>
        <v>0</v>
      </c>
    </row>
    <row r="9" spans="1:82" s="6" customFormat="1" x14ac:dyDescent="0.25">
      <c r="A9" s="237" t="s">
        <v>244</v>
      </c>
      <c r="B9" s="389">
        <v>0.5</v>
      </c>
      <c r="C9" s="156"/>
      <c r="D9" s="156"/>
      <c r="E9" s="156"/>
      <c r="F9" s="394"/>
      <c r="G9" s="160"/>
      <c r="H9" s="76">
        <f t="shared" ref="H9:H24" si="7">IF($BE$3="да",AX9+AY9,IF((SUM(C9:E9)-F9+G9)&lt;0,0,SUM(C9:E9)-F9+G9))*B9</f>
        <v>0</v>
      </c>
      <c r="I9" s="34">
        <f t="shared" si="1"/>
        <v>0</v>
      </c>
      <c r="J9" s="5">
        <f t="shared" si="2"/>
        <v>0</v>
      </c>
      <c r="K9" s="61"/>
      <c r="L9" s="70"/>
      <c r="M9" s="71" t="str">
        <f t="shared" si="3"/>
        <v/>
      </c>
      <c r="N9" s="68">
        <f t="shared" ref="N9:N24" si="8">IF(O9=0,0.0001,IFERROR(O9/$J$2,0.0001))</f>
        <v>3.6363636363636362</v>
      </c>
      <c r="O9" s="66">
        <v>40</v>
      </c>
      <c r="P9" s="66">
        <f t="shared" si="4"/>
        <v>120</v>
      </c>
      <c r="Q9" s="67">
        <f t="shared" ref="Q9:Q24" si="9">IFERROR(R9/P9,0)</f>
        <v>0</v>
      </c>
      <c r="R9" s="26">
        <f t="shared" ref="R9:R24" si="10">IF($BE$3="да", BM9, H9-SUM(S9:AW9))</f>
        <v>0</v>
      </c>
      <c r="S9" s="44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311">
        <f t="shared" ca="1" si="5"/>
        <v>0</v>
      </c>
      <c r="AY9" s="312">
        <f t="shared" ca="1" si="6"/>
        <v>0</v>
      </c>
      <c r="BA9" s="61">
        <f t="shared" ref="BA9:BA24" si="11">IFERROR(SUM(C9:E9)*B9/$J$4,0)</f>
        <v>0</v>
      </c>
      <c r="BB9" s="214"/>
      <c r="BC9" s="215">
        <f>BB9*B9</f>
        <v>0</v>
      </c>
      <c r="BD9" s="216">
        <f t="shared" ref="BD9:BD24" ca="1" si="12">IFERROR(BC9/$BC$2,0)</f>
        <v>0</v>
      </c>
      <c r="BE9" s="217"/>
      <c r="BF9" s="215">
        <f>BE9*B9</f>
        <v>0</v>
      </c>
      <c r="BG9" s="215">
        <f t="shared" ref="BG9:BG25" ca="1" si="13">IFERROR(BF9/BD9,0)</f>
        <v>0</v>
      </c>
      <c r="BH9" s="61">
        <f t="shared" ref="BH9:BH24" si="14">G9</f>
        <v>0</v>
      </c>
      <c r="BI9" s="218">
        <f t="shared" ref="BI9:BI25" ca="1" si="15">IF(BD9*$BC$3-BF9+BH9*B9&lt;0,0,BD9*$BC$3-BF9+BH9*B9)</f>
        <v>0</v>
      </c>
      <c r="BJ9" s="215">
        <f t="shared" ref="BJ9:BJ24" ca="1" si="16">IFERROR(BI9/$BC$3,0)</f>
        <v>0</v>
      </c>
      <c r="BK9" s="216">
        <f ca="1">IFERROR(BJ9/B9,0)</f>
        <v>0</v>
      </c>
      <c r="BL9" s="219">
        <f t="shared" ref="BL9:BL24" ca="1" si="17">SUMIFS(S9:AW9,$S$6:$AW$6,"пл")</f>
        <v>0</v>
      </c>
      <c r="BM9" s="220">
        <f t="shared" ref="BM9:BM24" ca="1" si="18">IF(BI9&lt;0,BL9*-1, BI9-BL9)</f>
        <v>0</v>
      </c>
      <c r="BN9" s="221">
        <f t="shared" ref="BN9:BN24" ca="1" si="19">IFERROR(ROUND(BD9*($BC$3+$BC$2)/B9-SUM(C9:E9), 1),0)</f>
        <v>0</v>
      </c>
    </row>
    <row r="10" spans="1:82" s="6" customFormat="1" x14ac:dyDescent="0.25">
      <c r="A10" s="237" t="s">
        <v>51</v>
      </c>
      <c r="B10" s="389">
        <v>0.5</v>
      </c>
      <c r="C10" s="156"/>
      <c r="D10" s="156"/>
      <c r="E10" s="156"/>
      <c r="F10" s="394"/>
      <c r="G10" s="160"/>
      <c r="H10" s="76">
        <f t="shared" si="7"/>
        <v>0</v>
      </c>
      <c r="I10" s="34">
        <f t="shared" si="1"/>
        <v>0</v>
      </c>
      <c r="J10" s="5">
        <f t="shared" si="2"/>
        <v>0</v>
      </c>
      <c r="K10" s="61"/>
      <c r="L10" s="70"/>
      <c r="M10" s="71" t="str">
        <f t="shared" si="3"/>
        <v/>
      </c>
      <c r="N10" s="68">
        <f t="shared" si="8"/>
        <v>3.6363636363636362</v>
      </c>
      <c r="O10" s="66">
        <v>40</v>
      </c>
      <c r="P10" s="66">
        <f t="shared" si="4"/>
        <v>120</v>
      </c>
      <c r="Q10" s="67">
        <f t="shared" si="9"/>
        <v>0</v>
      </c>
      <c r="R10" s="26">
        <f t="shared" si="10"/>
        <v>0</v>
      </c>
      <c r="S10" s="44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311">
        <f t="shared" ca="1" si="5"/>
        <v>0</v>
      </c>
      <c r="AY10" s="312">
        <f t="shared" ca="1" si="6"/>
        <v>0</v>
      </c>
      <c r="BA10" s="61">
        <f t="shared" si="11"/>
        <v>0</v>
      </c>
      <c r="BB10" s="214"/>
      <c r="BC10" s="215">
        <f>BB10*B10</f>
        <v>0</v>
      </c>
      <c r="BD10" s="216">
        <f t="shared" ca="1" si="12"/>
        <v>0</v>
      </c>
      <c r="BE10" s="217"/>
      <c r="BF10" s="215">
        <f>BE10*B10</f>
        <v>0</v>
      </c>
      <c r="BG10" s="215">
        <f t="shared" ca="1" si="13"/>
        <v>0</v>
      </c>
      <c r="BH10" s="61">
        <f t="shared" si="14"/>
        <v>0</v>
      </c>
      <c r="BI10" s="218">
        <f t="shared" ca="1" si="15"/>
        <v>0</v>
      </c>
      <c r="BJ10" s="215">
        <f ca="1">IFERROR(BI10/$BC$3,0)</f>
        <v>0</v>
      </c>
      <c r="BK10" s="216">
        <f ca="1">IFERROR(BJ10/B10,0)</f>
        <v>0</v>
      </c>
      <c r="BL10" s="219">
        <f t="shared" ca="1" si="17"/>
        <v>0</v>
      </c>
      <c r="BM10" s="220">
        <f t="shared" ca="1" si="18"/>
        <v>0</v>
      </c>
      <c r="BN10" s="221">
        <f t="shared" ca="1" si="19"/>
        <v>0</v>
      </c>
    </row>
    <row r="11" spans="1:82" s="6" customFormat="1" x14ac:dyDescent="0.25">
      <c r="A11" s="237" t="s">
        <v>245</v>
      </c>
      <c r="B11" s="389">
        <v>0.5</v>
      </c>
      <c r="C11" s="156"/>
      <c r="D11" s="156"/>
      <c r="E11" s="156"/>
      <c r="F11" s="394"/>
      <c r="G11" s="160"/>
      <c r="H11" s="76">
        <f t="shared" si="7"/>
        <v>0</v>
      </c>
      <c r="I11" s="34">
        <f t="shared" si="1"/>
        <v>0</v>
      </c>
      <c r="J11" s="5">
        <f t="shared" si="2"/>
        <v>0</v>
      </c>
      <c r="K11" s="61"/>
      <c r="L11" s="70"/>
      <c r="M11" s="71" t="str">
        <f t="shared" si="3"/>
        <v/>
      </c>
      <c r="N11" s="68">
        <f t="shared" si="8"/>
        <v>3.6363636363636362</v>
      </c>
      <c r="O11" s="66">
        <v>40</v>
      </c>
      <c r="P11" s="66">
        <f t="shared" si="4"/>
        <v>120</v>
      </c>
      <c r="Q11" s="67">
        <f t="shared" si="9"/>
        <v>0</v>
      </c>
      <c r="R11" s="26">
        <f t="shared" si="10"/>
        <v>0</v>
      </c>
      <c r="S11" s="44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311">
        <f t="shared" ca="1" si="5"/>
        <v>0</v>
      </c>
      <c r="AY11" s="312">
        <f t="shared" ca="1" si="6"/>
        <v>0</v>
      </c>
      <c r="BA11" s="61">
        <f t="shared" si="11"/>
        <v>0</v>
      </c>
      <c r="BB11" s="214"/>
      <c r="BC11" s="215">
        <f>BB11*B11</f>
        <v>0</v>
      </c>
      <c r="BD11" s="216">
        <f t="shared" ca="1" si="12"/>
        <v>0</v>
      </c>
      <c r="BE11" s="217"/>
      <c r="BF11" s="215">
        <f>BE11*B11</f>
        <v>0</v>
      </c>
      <c r="BG11" s="215">
        <f ca="1">IFERROR(BF11/BD11,0)</f>
        <v>0</v>
      </c>
      <c r="BH11" s="61">
        <f t="shared" si="14"/>
        <v>0</v>
      </c>
      <c r="BI11" s="218">
        <f t="shared" ca="1" si="15"/>
        <v>0</v>
      </c>
      <c r="BJ11" s="215">
        <f ca="1">IFERROR(BI11/$BC$3,0)</f>
        <v>0</v>
      </c>
      <c r="BK11" s="216">
        <f ca="1">IFERROR(BJ11/B11,0)</f>
        <v>0</v>
      </c>
      <c r="BL11" s="219">
        <f t="shared" ca="1" si="17"/>
        <v>0</v>
      </c>
      <c r="BM11" s="220">
        <f t="shared" ca="1" si="18"/>
        <v>0</v>
      </c>
      <c r="BN11" s="221">
        <f t="shared" ca="1" si="19"/>
        <v>0</v>
      </c>
    </row>
    <row r="12" spans="1:82" s="6" customFormat="1" x14ac:dyDescent="0.25">
      <c r="A12" s="237" t="s">
        <v>246</v>
      </c>
      <c r="B12" s="389">
        <v>0.5</v>
      </c>
      <c r="C12" s="156"/>
      <c r="D12" s="156"/>
      <c r="E12" s="156"/>
      <c r="F12" s="394"/>
      <c r="G12" s="160"/>
      <c r="H12" s="76">
        <f t="shared" si="7"/>
        <v>0</v>
      </c>
      <c r="I12" s="34">
        <f t="shared" si="1"/>
        <v>0</v>
      </c>
      <c r="J12" s="5">
        <f t="shared" si="2"/>
        <v>0</v>
      </c>
      <c r="K12" s="61"/>
      <c r="L12" s="70"/>
      <c r="M12" s="71" t="str">
        <f t="shared" si="3"/>
        <v/>
      </c>
      <c r="N12" s="68">
        <f t="shared" si="8"/>
        <v>3.1818181818181817</v>
      </c>
      <c r="O12" s="66">
        <v>35</v>
      </c>
      <c r="P12" s="66">
        <f t="shared" si="4"/>
        <v>105</v>
      </c>
      <c r="Q12" s="67">
        <f t="shared" si="9"/>
        <v>0</v>
      </c>
      <c r="R12" s="26">
        <f t="shared" si="10"/>
        <v>0</v>
      </c>
      <c r="S12" s="44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311">
        <f ca="1">SUMIFS(S12:AW12,$S$6:$AW$6,"ф")</f>
        <v>0</v>
      </c>
      <c r="AY12" s="312">
        <f ca="1">SUMIFS(S12:AW12,$S$6:$AW$6,"пл")</f>
        <v>0</v>
      </c>
      <c r="BA12" s="61">
        <f t="shared" si="11"/>
        <v>0</v>
      </c>
      <c r="BB12" s="214"/>
      <c r="BC12" s="215">
        <f>BB12*B12</f>
        <v>0</v>
      </c>
      <c r="BD12" s="216">
        <f t="shared" ca="1" si="12"/>
        <v>0</v>
      </c>
      <c r="BE12" s="217"/>
      <c r="BF12" s="215">
        <f>BE12*B12</f>
        <v>0</v>
      </c>
      <c r="BG12" s="215">
        <f t="shared" ca="1" si="13"/>
        <v>0</v>
      </c>
      <c r="BH12" s="61">
        <f t="shared" si="14"/>
        <v>0</v>
      </c>
      <c r="BI12" s="218">
        <f t="shared" ca="1" si="15"/>
        <v>0</v>
      </c>
      <c r="BJ12" s="215">
        <f ca="1">IFERROR(BI12/$BC$3,0)</f>
        <v>0</v>
      </c>
      <c r="BK12" s="216">
        <f ca="1">IFERROR(BJ12/B12,0)</f>
        <v>0</v>
      </c>
      <c r="BL12" s="219">
        <f t="shared" ca="1" si="17"/>
        <v>0</v>
      </c>
      <c r="BM12" s="220">
        <f t="shared" ca="1" si="18"/>
        <v>0</v>
      </c>
      <c r="BN12" s="221">
        <f t="shared" ca="1" si="19"/>
        <v>0</v>
      </c>
    </row>
    <row r="13" spans="1:82" s="6" customFormat="1" x14ac:dyDescent="0.25">
      <c r="A13" s="237" t="s">
        <v>53</v>
      </c>
      <c r="B13" s="389">
        <v>0.5</v>
      </c>
      <c r="C13" s="156"/>
      <c r="D13" s="156"/>
      <c r="E13" s="156"/>
      <c r="F13" s="394"/>
      <c r="G13" s="160"/>
      <c r="H13" s="76">
        <f t="shared" si="7"/>
        <v>0</v>
      </c>
      <c r="I13" s="34">
        <f>IFERROR(H13/$J$3,0)</f>
        <v>0</v>
      </c>
      <c r="J13" s="5">
        <f t="shared" si="2"/>
        <v>0</v>
      </c>
      <c r="K13" s="61"/>
      <c r="L13" s="70"/>
      <c r="M13" s="71" t="str">
        <f t="shared" si="3"/>
        <v/>
      </c>
      <c r="N13" s="68">
        <f t="shared" si="8"/>
        <v>3.1818181818181817</v>
      </c>
      <c r="O13" s="66">
        <v>35</v>
      </c>
      <c r="P13" s="66">
        <f t="shared" si="4"/>
        <v>105</v>
      </c>
      <c r="Q13" s="67">
        <f t="shared" si="9"/>
        <v>0</v>
      </c>
      <c r="R13" s="26">
        <f t="shared" si="10"/>
        <v>0</v>
      </c>
      <c r="S13" s="44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311">
        <f t="shared" ref="AX13:AX25" ca="1" si="20">SUMIFS(S13:AW13,$S$6:$AW$6,"ф")</f>
        <v>0</v>
      </c>
      <c r="AY13" s="312">
        <f t="shared" ref="AY13:AY25" ca="1" si="21">SUMIFS(S13:AW13,$S$6:$AW$6,"пл")</f>
        <v>0</v>
      </c>
      <c r="BA13" s="61">
        <f t="shared" si="11"/>
        <v>0</v>
      </c>
      <c r="BB13" s="214"/>
      <c r="BC13" s="215">
        <f>BB13*B13</f>
        <v>0</v>
      </c>
      <c r="BD13" s="216">
        <f t="shared" ca="1" si="12"/>
        <v>0</v>
      </c>
      <c r="BE13" s="217"/>
      <c r="BF13" s="215">
        <f>BE13*B13</f>
        <v>0</v>
      </c>
      <c r="BG13" s="215">
        <f t="shared" ca="1" si="13"/>
        <v>0</v>
      </c>
      <c r="BH13" s="61">
        <f t="shared" si="14"/>
        <v>0</v>
      </c>
      <c r="BI13" s="218">
        <f t="shared" ca="1" si="15"/>
        <v>0</v>
      </c>
      <c r="BJ13" s="215">
        <f t="shared" ca="1" si="16"/>
        <v>0</v>
      </c>
      <c r="BK13" s="216">
        <f ca="1">IFERROR(BJ13/B13,0)</f>
        <v>0</v>
      </c>
      <c r="BL13" s="219">
        <f t="shared" ca="1" si="17"/>
        <v>0</v>
      </c>
      <c r="BM13" s="220">
        <f t="shared" ca="1" si="18"/>
        <v>0</v>
      </c>
      <c r="BN13" s="221">
        <f t="shared" ca="1" si="19"/>
        <v>0</v>
      </c>
    </row>
    <row r="14" spans="1:82" s="6" customFormat="1" x14ac:dyDescent="0.25">
      <c r="A14" s="237" t="s">
        <v>247</v>
      </c>
      <c r="B14" s="389">
        <v>0.5</v>
      </c>
      <c r="C14" s="156"/>
      <c r="D14" s="156"/>
      <c r="E14" s="156"/>
      <c r="F14" s="394"/>
      <c r="G14" s="160"/>
      <c r="H14" s="76">
        <f t="shared" si="7"/>
        <v>0</v>
      </c>
      <c r="I14" s="34">
        <f t="shared" si="1"/>
        <v>0</v>
      </c>
      <c r="J14" s="5">
        <f t="shared" si="2"/>
        <v>0</v>
      </c>
      <c r="K14" s="61"/>
      <c r="L14" s="70"/>
      <c r="M14" s="71" t="str">
        <f t="shared" si="3"/>
        <v/>
      </c>
      <c r="N14" s="68">
        <f t="shared" si="8"/>
        <v>4.5454545454545459</v>
      </c>
      <c r="O14" s="66">
        <v>50</v>
      </c>
      <c r="P14" s="66">
        <f t="shared" si="4"/>
        <v>150</v>
      </c>
      <c r="Q14" s="67">
        <f t="shared" si="9"/>
        <v>0</v>
      </c>
      <c r="R14" s="26">
        <f t="shared" si="10"/>
        <v>0</v>
      </c>
      <c r="S14" s="44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311">
        <f t="shared" ca="1" si="20"/>
        <v>0</v>
      </c>
      <c r="AY14" s="312">
        <f t="shared" ca="1" si="21"/>
        <v>0</v>
      </c>
      <c r="BA14" s="61">
        <f t="shared" si="11"/>
        <v>0</v>
      </c>
      <c r="BB14" s="214"/>
      <c r="BC14" s="215">
        <f>BB14*B14</f>
        <v>0</v>
      </c>
      <c r="BD14" s="216">
        <f ca="1">IFERROR(BC14/$BC$2,0)</f>
        <v>0</v>
      </c>
      <c r="BE14" s="217"/>
      <c r="BF14" s="215">
        <f>BE14*B14</f>
        <v>0</v>
      </c>
      <c r="BG14" s="215">
        <f t="shared" ca="1" si="13"/>
        <v>0</v>
      </c>
      <c r="BH14" s="61">
        <f t="shared" si="14"/>
        <v>0</v>
      </c>
      <c r="BI14" s="218">
        <f t="shared" ca="1" si="15"/>
        <v>0</v>
      </c>
      <c r="BJ14" s="215">
        <f ca="1">IFERROR(BI14/$BC$3,0)</f>
        <v>0</v>
      </c>
      <c r="BK14" s="216">
        <f ca="1">IFERROR(BJ14/B14,0)</f>
        <v>0</v>
      </c>
      <c r="BL14" s="219">
        <f t="shared" ca="1" si="17"/>
        <v>0</v>
      </c>
      <c r="BM14" s="220">
        <f t="shared" ca="1" si="18"/>
        <v>0</v>
      </c>
      <c r="BN14" s="221">
        <f t="shared" ca="1" si="19"/>
        <v>0</v>
      </c>
    </row>
    <row r="15" spans="1:82" s="6" customFormat="1" x14ac:dyDescent="0.25">
      <c r="A15" s="237" t="s">
        <v>54</v>
      </c>
      <c r="B15" s="389">
        <v>0.5</v>
      </c>
      <c r="C15" s="156"/>
      <c r="D15" s="156"/>
      <c r="E15" s="156"/>
      <c r="F15" s="394"/>
      <c r="G15" s="160"/>
      <c r="H15" s="76">
        <f t="shared" si="7"/>
        <v>0</v>
      </c>
      <c r="I15" s="34">
        <f t="shared" si="1"/>
        <v>0</v>
      </c>
      <c r="J15" s="5">
        <f t="shared" si="2"/>
        <v>0</v>
      </c>
      <c r="K15" s="61"/>
      <c r="L15" s="70"/>
      <c r="M15" s="71" t="str">
        <f t="shared" si="3"/>
        <v/>
      </c>
      <c r="N15" s="68">
        <f t="shared" si="8"/>
        <v>3.1818181818181817</v>
      </c>
      <c r="O15" s="66">
        <v>35</v>
      </c>
      <c r="P15" s="66">
        <f t="shared" si="4"/>
        <v>105</v>
      </c>
      <c r="Q15" s="67">
        <f t="shared" si="9"/>
        <v>0</v>
      </c>
      <c r="R15" s="26">
        <f t="shared" si="10"/>
        <v>0</v>
      </c>
      <c r="S15" s="44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311">
        <f t="shared" ca="1" si="20"/>
        <v>0</v>
      </c>
      <c r="AY15" s="312">
        <f t="shared" ca="1" si="21"/>
        <v>0</v>
      </c>
      <c r="BA15" s="61">
        <f t="shared" si="11"/>
        <v>0</v>
      </c>
      <c r="BB15" s="214"/>
      <c r="BC15" s="215">
        <f>BB15*B15</f>
        <v>0</v>
      </c>
      <c r="BD15" s="216">
        <f t="shared" ca="1" si="12"/>
        <v>0</v>
      </c>
      <c r="BE15" s="217"/>
      <c r="BF15" s="215">
        <f>BE15*B15</f>
        <v>0</v>
      </c>
      <c r="BG15" s="215">
        <f t="shared" ca="1" si="13"/>
        <v>0</v>
      </c>
      <c r="BH15" s="61">
        <f t="shared" si="14"/>
        <v>0</v>
      </c>
      <c r="BI15" s="218">
        <f t="shared" ca="1" si="15"/>
        <v>0</v>
      </c>
      <c r="BJ15" s="215">
        <f t="shared" ca="1" si="16"/>
        <v>0</v>
      </c>
      <c r="BK15" s="216">
        <f ca="1">IFERROR(BJ15/B15,0)</f>
        <v>0</v>
      </c>
      <c r="BL15" s="219">
        <f t="shared" ca="1" si="17"/>
        <v>0</v>
      </c>
      <c r="BM15" s="220">
        <f t="shared" ca="1" si="18"/>
        <v>0</v>
      </c>
      <c r="BN15" s="221">
        <f t="shared" ca="1" si="19"/>
        <v>0</v>
      </c>
    </row>
    <row r="16" spans="1:82" s="6" customFormat="1" x14ac:dyDescent="0.25">
      <c r="A16" s="237" t="s">
        <v>248</v>
      </c>
      <c r="B16" s="389">
        <v>0.5</v>
      </c>
      <c r="C16" s="156"/>
      <c r="D16" s="156"/>
      <c r="E16" s="156"/>
      <c r="F16" s="394"/>
      <c r="G16" s="160"/>
      <c r="H16" s="76">
        <f t="shared" si="7"/>
        <v>0</v>
      </c>
      <c r="I16" s="34">
        <f t="shared" si="1"/>
        <v>0</v>
      </c>
      <c r="J16" s="5">
        <f t="shared" si="2"/>
        <v>0</v>
      </c>
      <c r="K16" s="61"/>
      <c r="L16" s="70"/>
      <c r="M16" s="71" t="str">
        <f t="shared" si="3"/>
        <v/>
      </c>
      <c r="N16" s="68">
        <f t="shared" si="8"/>
        <v>3.1818181818181817</v>
      </c>
      <c r="O16" s="66">
        <v>35</v>
      </c>
      <c r="P16" s="66">
        <f t="shared" si="4"/>
        <v>105</v>
      </c>
      <c r="Q16" s="67">
        <f t="shared" si="9"/>
        <v>0</v>
      </c>
      <c r="R16" s="26">
        <f t="shared" si="10"/>
        <v>0</v>
      </c>
      <c r="S16" s="44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311">
        <f t="shared" ca="1" si="20"/>
        <v>0</v>
      </c>
      <c r="AY16" s="312">
        <f t="shared" ca="1" si="21"/>
        <v>0</v>
      </c>
      <c r="BA16" s="61">
        <f t="shared" si="11"/>
        <v>0</v>
      </c>
      <c r="BB16" s="214"/>
      <c r="BC16" s="215">
        <f>BB16*B16</f>
        <v>0</v>
      </c>
      <c r="BD16" s="216">
        <f t="shared" ca="1" si="12"/>
        <v>0</v>
      </c>
      <c r="BE16" s="217"/>
      <c r="BF16" s="215">
        <f>BE16*B16</f>
        <v>0</v>
      </c>
      <c r="BG16" s="215">
        <f t="shared" ca="1" si="13"/>
        <v>0</v>
      </c>
      <c r="BH16" s="61">
        <f t="shared" si="14"/>
        <v>0</v>
      </c>
      <c r="BI16" s="218">
        <f t="shared" ca="1" si="15"/>
        <v>0</v>
      </c>
      <c r="BJ16" s="215">
        <f t="shared" ca="1" si="16"/>
        <v>0</v>
      </c>
      <c r="BK16" s="216">
        <f ca="1">IFERROR(BJ16/B16,0)</f>
        <v>0</v>
      </c>
      <c r="BL16" s="219">
        <f t="shared" ca="1" si="17"/>
        <v>0</v>
      </c>
      <c r="BM16" s="220">
        <f t="shared" ca="1" si="18"/>
        <v>0</v>
      </c>
      <c r="BN16" s="221">
        <f t="shared" ca="1" si="19"/>
        <v>0</v>
      </c>
    </row>
    <row r="17" spans="1:66" s="6" customFormat="1" x14ac:dyDescent="0.25">
      <c r="A17" s="237" t="s">
        <v>249</v>
      </c>
      <c r="B17" s="389">
        <v>0.5</v>
      </c>
      <c r="C17" s="156"/>
      <c r="D17" s="156"/>
      <c r="E17" s="156"/>
      <c r="F17" s="394"/>
      <c r="G17" s="160"/>
      <c r="H17" s="76">
        <f t="shared" si="7"/>
        <v>0</v>
      </c>
      <c r="I17" s="34">
        <f t="shared" si="1"/>
        <v>0</v>
      </c>
      <c r="J17" s="5">
        <f t="shared" si="2"/>
        <v>0</v>
      </c>
      <c r="K17" s="61"/>
      <c r="L17" s="70"/>
      <c r="M17" s="71" t="str">
        <f t="shared" si="3"/>
        <v/>
      </c>
      <c r="N17" s="68">
        <f t="shared" si="8"/>
        <v>1.5454545454545454</v>
      </c>
      <c r="O17" s="66">
        <v>17</v>
      </c>
      <c r="P17" s="66">
        <f t="shared" si="4"/>
        <v>51</v>
      </c>
      <c r="Q17" s="67">
        <f t="shared" si="9"/>
        <v>0</v>
      </c>
      <c r="R17" s="26">
        <f t="shared" si="10"/>
        <v>0</v>
      </c>
      <c r="S17" s="44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311">
        <f t="shared" ca="1" si="20"/>
        <v>0</v>
      </c>
      <c r="AY17" s="312">
        <f t="shared" ca="1" si="21"/>
        <v>0</v>
      </c>
      <c r="BA17" s="61">
        <f t="shared" si="11"/>
        <v>0</v>
      </c>
      <c r="BB17" s="214"/>
      <c r="BC17" s="215">
        <f>BB17*B17</f>
        <v>0</v>
      </c>
      <c r="BD17" s="216">
        <f t="shared" ca="1" si="12"/>
        <v>0</v>
      </c>
      <c r="BE17" s="217"/>
      <c r="BF17" s="215">
        <f>BE17*B17</f>
        <v>0</v>
      </c>
      <c r="BG17" s="215">
        <f t="shared" ca="1" si="13"/>
        <v>0</v>
      </c>
      <c r="BH17" s="61">
        <f t="shared" si="14"/>
        <v>0</v>
      </c>
      <c r="BI17" s="218">
        <f t="shared" ca="1" si="15"/>
        <v>0</v>
      </c>
      <c r="BJ17" s="215">
        <f t="shared" ca="1" si="16"/>
        <v>0</v>
      </c>
      <c r="BK17" s="216">
        <f ca="1">IFERROR(BJ17/B17,0)</f>
        <v>0</v>
      </c>
      <c r="BL17" s="219">
        <f ca="1">SUMIFS(S17:AW17,$S$6:$AW$6,"пл")</f>
        <v>0</v>
      </c>
      <c r="BM17" s="220">
        <f t="shared" ca="1" si="18"/>
        <v>0</v>
      </c>
      <c r="BN17" s="221">
        <f t="shared" ca="1" si="19"/>
        <v>0</v>
      </c>
    </row>
    <row r="18" spans="1:66" s="6" customFormat="1" x14ac:dyDescent="0.25">
      <c r="A18" s="237"/>
      <c r="B18" s="389"/>
      <c r="C18" s="156"/>
      <c r="D18" s="156"/>
      <c r="E18" s="156"/>
      <c r="F18" s="394"/>
      <c r="G18" s="160"/>
      <c r="H18" s="76">
        <f t="shared" si="7"/>
        <v>0</v>
      </c>
      <c r="I18" s="34">
        <f t="shared" si="1"/>
        <v>0</v>
      </c>
      <c r="J18" s="5">
        <f t="shared" si="2"/>
        <v>0</v>
      </c>
      <c r="K18" s="61"/>
      <c r="L18" s="70"/>
      <c r="M18" s="71" t="str">
        <f t="shared" si="3"/>
        <v/>
      </c>
      <c r="N18" s="68">
        <f t="shared" si="8"/>
        <v>1E-4</v>
      </c>
      <c r="O18" s="66"/>
      <c r="P18" s="66">
        <f t="shared" si="4"/>
        <v>0</v>
      </c>
      <c r="Q18" s="67">
        <f t="shared" si="9"/>
        <v>0</v>
      </c>
      <c r="R18" s="26">
        <f t="shared" si="10"/>
        <v>0</v>
      </c>
      <c r="S18" s="44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311">
        <f t="shared" ca="1" si="20"/>
        <v>0</v>
      </c>
      <c r="AY18" s="312">
        <f t="shared" ca="1" si="21"/>
        <v>0</v>
      </c>
      <c r="BA18" s="61">
        <f t="shared" si="11"/>
        <v>0</v>
      </c>
      <c r="BB18" s="214"/>
      <c r="BC18" s="215">
        <f>BB18*B18</f>
        <v>0</v>
      </c>
      <c r="BD18" s="216">
        <f t="shared" ca="1" si="12"/>
        <v>0</v>
      </c>
      <c r="BE18" s="217"/>
      <c r="BF18" s="215">
        <f>BE18*B18</f>
        <v>0</v>
      </c>
      <c r="BG18" s="215">
        <f t="shared" ca="1" si="13"/>
        <v>0</v>
      </c>
      <c r="BH18" s="61">
        <f t="shared" si="14"/>
        <v>0</v>
      </c>
      <c r="BI18" s="218">
        <f t="shared" ca="1" si="15"/>
        <v>0</v>
      </c>
      <c r="BJ18" s="215">
        <f t="shared" ca="1" si="16"/>
        <v>0</v>
      </c>
      <c r="BK18" s="216">
        <f ca="1">IFERROR(BJ18/B18,0)</f>
        <v>0</v>
      </c>
      <c r="BL18" s="219">
        <f t="shared" ca="1" si="17"/>
        <v>0</v>
      </c>
      <c r="BM18" s="220">
        <f t="shared" ca="1" si="18"/>
        <v>0</v>
      </c>
      <c r="BN18" s="221">
        <f t="shared" ca="1" si="19"/>
        <v>0</v>
      </c>
    </row>
    <row r="19" spans="1:66" s="6" customFormat="1" x14ac:dyDescent="0.25">
      <c r="A19" s="149"/>
      <c r="B19" s="389"/>
      <c r="C19" s="157"/>
      <c r="D19" s="157"/>
      <c r="E19" s="157"/>
      <c r="F19" s="399"/>
      <c r="G19" s="161"/>
      <c r="H19" s="76">
        <f t="shared" si="7"/>
        <v>0</v>
      </c>
      <c r="I19" s="35">
        <f t="shared" si="1"/>
        <v>0</v>
      </c>
      <c r="J19" s="7">
        <f t="shared" si="2"/>
        <v>0</v>
      </c>
      <c r="K19" s="62"/>
      <c r="L19" s="70"/>
      <c r="M19" s="71" t="str">
        <f t="shared" si="3"/>
        <v/>
      </c>
      <c r="N19" s="68">
        <f t="shared" si="8"/>
        <v>1.6636363636363638</v>
      </c>
      <c r="O19" s="66">
        <v>18.3</v>
      </c>
      <c r="P19" s="66">
        <f t="shared" si="4"/>
        <v>54.900000000000006</v>
      </c>
      <c r="Q19" s="67">
        <f t="shared" si="9"/>
        <v>0</v>
      </c>
      <c r="R19" s="26">
        <f t="shared" si="10"/>
        <v>0</v>
      </c>
      <c r="S19" s="44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311">
        <f t="shared" ca="1" si="20"/>
        <v>0</v>
      </c>
      <c r="AY19" s="312">
        <f t="shared" ca="1" si="21"/>
        <v>0</v>
      </c>
      <c r="BA19" s="61">
        <f t="shared" si="11"/>
        <v>0</v>
      </c>
      <c r="BB19" s="214"/>
      <c r="BC19" s="215">
        <f>BB19*B19</f>
        <v>0</v>
      </c>
      <c r="BD19" s="216">
        <f t="shared" ca="1" si="12"/>
        <v>0</v>
      </c>
      <c r="BE19" s="217"/>
      <c r="BF19" s="215">
        <f>BE19*B19</f>
        <v>0</v>
      </c>
      <c r="BG19" s="215">
        <f t="shared" ca="1" si="13"/>
        <v>0</v>
      </c>
      <c r="BH19" s="61">
        <f t="shared" si="14"/>
        <v>0</v>
      </c>
      <c r="BI19" s="218">
        <f t="shared" ca="1" si="15"/>
        <v>0</v>
      </c>
      <c r="BJ19" s="215">
        <f t="shared" ca="1" si="16"/>
        <v>0</v>
      </c>
      <c r="BK19" s="216">
        <f ca="1">IFERROR(BJ19/B19,0)</f>
        <v>0</v>
      </c>
      <c r="BL19" s="219">
        <f t="shared" ca="1" si="17"/>
        <v>0</v>
      </c>
      <c r="BM19" s="220">
        <f t="shared" ca="1" si="18"/>
        <v>0</v>
      </c>
      <c r="BN19" s="221">
        <f t="shared" ca="1" si="19"/>
        <v>0</v>
      </c>
    </row>
    <row r="20" spans="1:66" s="6" customFormat="1" x14ac:dyDescent="0.25">
      <c r="A20" s="149"/>
      <c r="B20" s="389"/>
      <c r="C20" s="156"/>
      <c r="D20" s="156"/>
      <c r="E20" s="156"/>
      <c r="F20" s="394"/>
      <c r="G20" s="160"/>
      <c r="H20" s="76">
        <f t="shared" si="7"/>
        <v>0</v>
      </c>
      <c r="I20" s="34">
        <f t="shared" si="1"/>
        <v>0</v>
      </c>
      <c r="J20" s="5">
        <f t="shared" si="2"/>
        <v>0</v>
      </c>
      <c r="K20" s="61"/>
      <c r="L20" s="70"/>
      <c r="M20" s="71" t="str">
        <f t="shared" si="3"/>
        <v/>
      </c>
      <c r="N20" s="68">
        <f t="shared" si="8"/>
        <v>1.6636363636363638</v>
      </c>
      <c r="O20" s="154">
        <v>18.3</v>
      </c>
      <c r="P20" s="66">
        <f t="shared" si="4"/>
        <v>54.900000000000006</v>
      </c>
      <c r="Q20" s="67">
        <f t="shared" si="9"/>
        <v>0</v>
      </c>
      <c r="R20" s="26">
        <f t="shared" si="10"/>
        <v>0</v>
      </c>
      <c r="S20" s="44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311">
        <f t="shared" ca="1" si="20"/>
        <v>0</v>
      </c>
      <c r="AY20" s="312">
        <f t="shared" ca="1" si="21"/>
        <v>0</v>
      </c>
      <c r="BA20" s="61">
        <f t="shared" si="11"/>
        <v>0</v>
      </c>
      <c r="BB20" s="214"/>
      <c r="BC20" s="215">
        <f>BB20*B20</f>
        <v>0</v>
      </c>
      <c r="BD20" s="216">
        <f t="shared" ca="1" si="12"/>
        <v>0</v>
      </c>
      <c r="BE20" s="217"/>
      <c r="BF20" s="215">
        <f>BE20*B20</f>
        <v>0</v>
      </c>
      <c r="BG20" s="215">
        <f t="shared" ca="1" si="13"/>
        <v>0</v>
      </c>
      <c r="BH20" s="61">
        <f t="shared" si="14"/>
        <v>0</v>
      </c>
      <c r="BI20" s="218">
        <f t="shared" ca="1" si="15"/>
        <v>0</v>
      </c>
      <c r="BJ20" s="215">
        <f t="shared" ca="1" si="16"/>
        <v>0</v>
      </c>
      <c r="BK20" s="216">
        <f ca="1">IFERROR(BJ20/B20,0)</f>
        <v>0</v>
      </c>
      <c r="BL20" s="219">
        <f t="shared" ca="1" si="17"/>
        <v>0</v>
      </c>
      <c r="BM20" s="220">
        <f t="shared" ca="1" si="18"/>
        <v>0</v>
      </c>
      <c r="BN20" s="221">
        <f t="shared" ca="1" si="19"/>
        <v>0</v>
      </c>
    </row>
    <row r="21" spans="1:66" s="6" customFormat="1" x14ac:dyDescent="0.25">
      <c r="A21" s="237" t="s">
        <v>55</v>
      </c>
      <c r="B21" s="389">
        <v>1</v>
      </c>
      <c r="C21" s="156"/>
      <c r="D21" s="156"/>
      <c r="E21" s="156"/>
      <c r="F21" s="394"/>
      <c r="G21" s="160"/>
      <c r="H21" s="76">
        <f t="shared" si="7"/>
        <v>0</v>
      </c>
      <c r="I21" s="34">
        <f t="shared" si="1"/>
        <v>0</v>
      </c>
      <c r="J21" s="5">
        <f t="shared" si="2"/>
        <v>0</v>
      </c>
      <c r="K21" s="61"/>
      <c r="L21" s="70"/>
      <c r="M21" s="71" t="str">
        <f t="shared" si="3"/>
        <v/>
      </c>
      <c r="N21" s="68">
        <f>IF(O21=0,0.0001,IFERROR(O21/$J$2,0.0001))</f>
        <v>1.6636363636363638</v>
      </c>
      <c r="O21" s="154">
        <v>18.3</v>
      </c>
      <c r="P21" s="66">
        <f t="shared" si="4"/>
        <v>54.900000000000006</v>
      </c>
      <c r="Q21" s="67">
        <f t="shared" si="9"/>
        <v>0</v>
      </c>
      <c r="R21" s="26">
        <f t="shared" si="10"/>
        <v>0</v>
      </c>
      <c r="S21" s="44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45"/>
      <c r="AX21" s="311">
        <f t="shared" ca="1" si="20"/>
        <v>0</v>
      </c>
      <c r="AY21" s="312">
        <f t="shared" ca="1" si="21"/>
        <v>0</v>
      </c>
      <c r="BA21" s="61">
        <f t="shared" si="11"/>
        <v>0</v>
      </c>
      <c r="BB21" s="214"/>
      <c r="BC21" s="215">
        <f>BB21*B21</f>
        <v>0</v>
      </c>
      <c r="BD21" s="216">
        <f t="shared" ca="1" si="12"/>
        <v>0</v>
      </c>
      <c r="BE21" s="217"/>
      <c r="BF21" s="215">
        <f>BE21*B21</f>
        <v>0</v>
      </c>
      <c r="BG21" s="215">
        <f t="shared" ca="1" si="13"/>
        <v>0</v>
      </c>
      <c r="BH21" s="61">
        <f t="shared" si="14"/>
        <v>0</v>
      </c>
      <c r="BI21" s="218">
        <f t="shared" ca="1" si="15"/>
        <v>0</v>
      </c>
      <c r="BJ21" s="215">
        <f t="shared" ca="1" si="16"/>
        <v>0</v>
      </c>
      <c r="BK21" s="216">
        <f ca="1">IFERROR(BJ21/B21,0)</f>
        <v>0</v>
      </c>
      <c r="BL21" s="219">
        <f t="shared" ca="1" si="17"/>
        <v>0</v>
      </c>
      <c r="BM21" s="220">
        <f t="shared" ca="1" si="18"/>
        <v>0</v>
      </c>
      <c r="BN21" s="221">
        <f t="shared" ca="1" si="19"/>
        <v>0</v>
      </c>
    </row>
    <row r="22" spans="1:66" s="6" customFormat="1" x14ac:dyDescent="0.25">
      <c r="A22" s="237" t="s">
        <v>56</v>
      </c>
      <c r="B22" s="389">
        <v>1</v>
      </c>
      <c r="C22" s="156"/>
      <c r="D22" s="156"/>
      <c r="E22" s="156"/>
      <c r="F22" s="394"/>
      <c r="G22" s="160"/>
      <c r="H22" s="76">
        <f t="shared" si="7"/>
        <v>0</v>
      </c>
      <c r="I22" s="34">
        <f t="shared" si="1"/>
        <v>0</v>
      </c>
      <c r="J22" s="5">
        <f t="shared" si="2"/>
        <v>0</v>
      </c>
      <c r="K22" s="61"/>
      <c r="L22" s="70"/>
      <c r="M22" s="71" t="str">
        <f t="shared" si="3"/>
        <v/>
      </c>
      <c r="N22" s="68">
        <f t="shared" si="8"/>
        <v>1.6636363636363638</v>
      </c>
      <c r="O22" s="154">
        <v>18.3</v>
      </c>
      <c r="P22" s="66">
        <f t="shared" si="4"/>
        <v>54.900000000000006</v>
      </c>
      <c r="Q22" s="67">
        <f t="shared" si="9"/>
        <v>0</v>
      </c>
      <c r="R22" s="26">
        <f t="shared" si="10"/>
        <v>0</v>
      </c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45"/>
      <c r="AX22" s="311">
        <f t="shared" ca="1" si="20"/>
        <v>0</v>
      </c>
      <c r="AY22" s="312">
        <f t="shared" ca="1" si="21"/>
        <v>0</v>
      </c>
      <c r="BA22" s="61">
        <f t="shared" si="11"/>
        <v>0</v>
      </c>
      <c r="BB22" s="214"/>
      <c r="BC22" s="215">
        <f>BB22*B22</f>
        <v>0</v>
      </c>
      <c r="BD22" s="216">
        <f t="shared" ca="1" si="12"/>
        <v>0</v>
      </c>
      <c r="BE22" s="217"/>
      <c r="BF22" s="215">
        <f>BE22*B22</f>
        <v>0</v>
      </c>
      <c r="BG22" s="215">
        <f t="shared" ca="1" si="13"/>
        <v>0</v>
      </c>
      <c r="BH22" s="61">
        <f t="shared" si="14"/>
        <v>0</v>
      </c>
      <c r="BI22" s="218">
        <f t="shared" ca="1" si="15"/>
        <v>0</v>
      </c>
      <c r="BJ22" s="215">
        <f t="shared" ca="1" si="16"/>
        <v>0</v>
      </c>
      <c r="BK22" s="216">
        <f ca="1">IFERROR(BJ22/B22,0)</f>
        <v>0</v>
      </c>
      <c r="BL22" s="219">
        <f t="shared" ca="1" si="17"/>
        <v>0</v>
      </c>
      <c r="BM22" s="220">
        <f t="shared" ca="1" si="18"/>
        <v>0</v>
      </c>
      <c r="BN22" s="221">
        <f t="shared" ca="1" si="19"/>
        <v>0</v>
      </c>
    </row>
    <row r="23" spans="1:66" s="6" customFormat="1" x14ac:dyDescent="0.25">
      <c r="A23" s="237" t="s">
        <v>250</v>
      </c>
      <c r="B23" s="389">
        <v>1</v>
      </c>
      <c r="C23" s="156"/>
      <c r="D23" s="156"/>
      <c r="E23" s="156"/>
      <c r="F23" s="394"/>
      <c r="G23" s="160"/>
      <c r="H23" s="76">
        <f t="shared" si="7"/>
        <v>0</v>
      </c>
      <c r="I23" s="34">
        <f t="shared" si="1"/>
        <v>0</v>
      </c>
      <c r="J23" s="5">
        <f t="shared" si="2"/>
        <v>0</v>
      </c>
      <c r="K23" s="61"/>
      <c r="L23" s="70"/>
      <c r="M23" s="71" t="str">
        <f t="shared" si="3"/>
        <v/>
      </c>
      <c r="N23" s="68">
        <f t="shared" si="8"/>
        <v>1.6636363636363638</v>
      </c>
      <c r="O23" s="154">
        <v>18.3</v>
      </c>
      <c r="P23" s="66">
        <f t="shared" si="4"/>
        <v>54.900000000000006</v>
      </c>
      <c r="Q23" s="67">
        <f t="shared" si="9"/>
        <v>0</v>
      </c>
      <c r="R23" s="26">
        <f t="shared" si="10"/>
        <v>0</v>
      </c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45"/>
      <c r="AX23" s="311">
        <f t="shared" ca="1" si="20"/>
        <v>0</v>
      </c>
      <c r="AY23" s="312">
        <f t="shared" ca="1" si="21"/>
        <v>0</v>
      </c>
      <c r="BA23" s="61">
        <f t="shared" si="11"/>
        <v>0</v>
      </c>
      <c r="BB23" s="214"/>
      <c r="BC23" s="215">
        <f>BB23*B23</f>
        <v>0</v>
      </c>
      <c r="BD23" s="216">
        <f t="shared" ca="1" si="12"/>
        <v>0</v>
      </c>
      <c r="BE23" s="217"/>
      <c r="BF23" s="215">
        <f>BE23*B23</f>
        <v>0</v>
      </c>
      <c r="BG23" s="215">
        <f t="shared" ca="1" si="13"/>
        <v>0</v>
      </c>
      <c r="BH23" s="61">
        <f t="shared" si="14"/>
        <v>0</v>
      </c>
      <c r="BI23" s="218">
        <f t="shared" ca="1" si="15"/>
        <v>0</v>
      </c>
      <c r="BJ23" s="215">
        <f t="shared" ca="1" si="16"/>
        <v>0</v>
      </c>
      <c r="BK23" s="216">
        <f ca="1">IFERROR(BJ23/B23,0)</f>
        <v>0</v>
      </c>
      <c r="BL23" s="219">
        <f t="shared" ca="1" si="17"/>
        <v>0</v>
      </c>
      <c r="BM23" s="220">
        <f t="shared" ca="1" si="18"/>
        <v>0</v>
      </c>
      <c r="BN23" s="221">
        <f t="shared" ca="1" si="19"/>
        <v>0</v>
      </c>
    </row>
    <row r="24" spans="1:66" s="6" customFormat="1" ht="15.75" thickBot="1" x14ac:dyDescent="0.3">
      <c r="A24" s="238" t="s">
        <v>251</v>
      </c>
      <c r="B24" s="390">
        <v>1</v>
      </c>
      <c r="C24" s="158"/>
      <c r="D24" s="158"/>
      <c r="E24" s="158"/>
      <c r="F24" s="400"/>
      <c r="G24" s="162"/>
      <c r="H24" s="76">
        <f t="shared" si="7"/>
        <v>0</v>
      </c>
      <c r="I24" s="36">
        <f t="shared" si="1"/>
        <v>0</v>
      </c>
      <c r="J24" s="13">
        <f t="shared" si="2"/>
        <v>0</v>
      </c>
      <c r="K24" s="63"/>
      <c r="L24" s="72"/>
      <c r="M24" s="73" t="str">
        <f t="shared" si="3"/>
        <v/>
      </c>
      <c r="N24" s="155">
        <f t="shared" si="8"/>
        <v>1.6636363636363638</v>
      </c>
      <c r="O24" s="66">
        <v>18.3</v>
      </c>
      <c r="P24" s="66">
        <f t="shared" si="4"/>
        <v>54.900000000000006</v>
      </c>
      <c r="Q24" s="67">
        <f t="shared" si="9"/>
        <v>0</v>
      </c>
      <c r="R24" s="26">
        <f t="shared" si="10"/>
        <v>0</v>
      </c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47"/>
      <c r="AX24" s="311">
        <f t="shared" ca="1" si="20"/>
        <v>0</v>
      </c>
      <c r="AY24" s="312">
        <f t="shared" ca="1" si="21"/>
        <v>0</v>
      </c>
      <c r="BA24" s="61">
        <f t="shared" si="11"/>
        <v>0</v>
      </c>
      <c r="BB24" s="214"/>
      <c r="BC24" s="215">
        <f>BB24*B24</f>
        <v>0</v>
      </c>
      <c r="BD24" s="216">
        <f t="shared" ca="1" si="12"/>
        <v>0</v>
      </c>
      <c r="BE24" s="217"/>
      <c r="BF24" s="215">
        <f>BE24*B24</f>
        <v>0</v>
      </c>
      <c r="BG24" s="215">
        <f t="shared" ca="1" si="13"/>
        <v>0</v>
      </c>
      <c r="BH24" s="61">
        <f t="shared" si="14"/>
        <v>0</v>
      </c>
      <c r="BI24" s="218">
        <f t="shared" ca="1" si="15"/>
        <v>0</v>
      </c>
      <c r="BJ24" s="215">
        <f t="shared" ca="1" si="16"/>
        <v>0</v>
      </c>
      <c r="BK24" s="216">
        <f ca="1">IFERROR(BJ24/B24,0)</f>
        <v>0</v>
      </c>
      <c r="BL24" s="219">
        <f t="shared" ca="1" si="17"/>
        <v>0</v>
      </c>
      <c r="BM24" s="220">
        <f t="shared" ca="1" si="18"/>
        <v>0</v>
      </c>
      <c r="BN24" s="221">
        <f t="shared" ca="1" si="19"/>
        <v>0</v>
      </c>
    </row>
    <row r="25" spans="1:66" s="1" customFormat="1" ht="15.75" thickBot="1" x14ac:dyDescent="0.3">
      <c r="A25" s="150" t="s">
        <v>3</v>
      </c>
      <c r="B25" s="151"/>
      <c r="C25" s="152"/>
      <c r="D25" s="152"/>
      <c r="E25" s="167"/>
      <c r="F25" s="151"/>
      <c r="G25" s="135"/>
      <c r="H25" s="77">
        <f>SUM(H8:H24)</f>
        <v>0</v>
      </c>
      <c r="I25" s="37">
        <f t="shared" si="1"/>
        <v>0</v>
      </c>
      <c r="J25" s="146">
        <f>IFERROR(ROUND(I25/$J$2,0),0)</f>
        <v>0</v>
      </c>
      <c r="K25" s="33">
        <f>IFERROR(ROUND(J25/J1,0),0)</f>
        <v>0</v>
      </c>
      <c r="L25" s="74">
        <f>SUM(L8:L24)</f>
        <v>0</v>
      </c>
      <c r="M25" s="75" t="str">
        <f t="shared" si="3"/>
        <v/>
      </c>
      <c r="N25" s="69"/>
      <c r="O25" s="64"/>
      <c r="P25" s="64"/>
      <c r="Q25" s="65"/>
      <c r="R25" s="22" t="s">
        <v>72</v>
      </c>
      <c r="S25" s="27">
        <f>SUM(S8:S24)</f>
        <v>0</v>
      </c>
      <c r="T25" s="23">
        <f t="shared" ref="T25:AW25" si="22">SUM(T8:T24)</f>
        <v>0</v>
      </c>
      <c r="U25" s="23">
        <f t="shared" si="22"/>
        <v>0</v>
      </c>
      <c r="V25" s="23">
        <f t="shared" si="22"/>
        <v>0</v>
      </c>
      <c r="W25" s="23">
        <f t="shared" si="22"/>
        <v>0</v>
      </c>
      <c r="X25" s="23">
        <f t="shared" si="22"/>
        <v>0</v>
      </c>
      <c r="Y25" s="23">
        <f t="shared" si="22"/>
        <v>0</v>
      </c>
      <c r="Z25" s="23">
        <f t="shared" si="22"/>
        <v>0</v>
      </c>
      <c r="AA25" s="23">
        <f t="shared" si="22"/>
        <v>0</v>
      </c>
      <c r="AB25" s="23">
        <f t="shared" si="22"/>
        <v>0</v>
      </c>
      <c r="AC25" s="23">
        <f t="shared" si="22"/>
        <v>0</v>
      </c>
      <c r="AD25" s="23">
        <f t="shared" si="22"/>
        <v>0</v>
      </c>
      <c r="AE25" s="23">
        <f t="shared" si="22"/>
        <v>0</v>
      </c>
      <c r="AF25" s="23">
        <f t="shared" si="22"/>
        <v>0</v>
      </c>
      <c r="AG25" s="23">
        <f t="shared" si="22"/>
        <v>0</v>
      </c>
      <c r="AH25" s="23">
        <f t="shared" si="22"/>
        <v>0</v>
      </c>
      <c r="AI25" s="23">
        <f t="shared" si="22"/>
        <v>0</v>
      </c>
      <c r="AJ25" s="23">
        <f t="shared" si="22"/>
        <v>0</v>
      </c>
      <c r="AK25" s="23">
        <f t="shared" si="22"/>
        <v>0</v>
      </c>
      <c r="AL25" s="23">
        <f t="shared" si="22"/>
        <v>0</v>
      </c>
      <c r="AM25" s="23">
        <f t="shared" si="22"/>
        <v>0</v>
      </c>
      <c r="AN25" s="23">
        <f t="shared" si="22"/>
        <v>0</v>
      </c>
      <c r="AO25" s="23">
        <f t="shared" si="22"/>
        <v>0</v>
      </c>
      <c r="AP25" s="23">
        <f t="shared" si="22"/>
        <v>0</v>
      </c>
      <c r="AQ25" s="23">
        <f t="shared" si="22"/>
        <v>0</v>
      </c>
      <c r="AR25" s="23">
        <f t="shared" si="22"/>
        <v>0</v>
      </c>
      <c r="AS25" s="23">
        <f t="shared" si="22"/>
        <v>0</v>
      </c>
      <c r="AT25" s="23">
        <f t="shared" si="22"/>
        <v>0</v>
      </c>
      <c r="AU25" s="23">
        <f t="shared" si="22"/>
        <v>0</v>
      </c>
      <c r="AV25" s="23">
        <f t="shared" si="22"/>
        <v>0</v>
      </c>
      <c r="AW25" s="24">
        <f t="shared" si="22"/>
        <v>0</v>
      </c>
      <c r="AX25" s="324">
        <f t="shared" ca="1" si="20"/>
        <v>0</v>
      </c>
      <c r="AY25" s="329">
        <f t="shared" ca="1" si="21"/>
        <v>0</v>
      </c>
      <c r="BA25" s="222"/>
      <c r="BB25" s="223"/>
      <c r="BC25" s="224"/>
      <c r="BD25" s="225"/>
      <c r="BE25" s="226"/>
      <c r="BF25" s="227"/>
      <c r="BG25" s="215">
        <f t="shared" si="13"/>
        <v>0</v>
      </c>
      <c r="BH25" s="222"/>
      <c r="BI25" s="401">
        <f t="shared" ca="1" si="15"/>
        <v>0</v>
      </c>
      <c r="BJ25" s="224"/>
      <c r="BK25" s="225"/>
      <c r="BL25" s="228"/>
      <c r="BM25" s="229"/>
      <c r="BN25" s="230"/>
    </row>
    <row r="26" spans="1:66" s="31" customFormat="1" x14ac:dyDescent="0.25">
      <c r="A26" s="417" t="s">
        <v>89</v>
      </c>
      <c r="B26" s="418"/>
      <c r="C26" s="418"/>
      <c r="D26" s="418"/>
      <c r="E26" s="419"/>
      <c r="F26" s="132"/>
      <c r="G26" s="132"/>
      <c r="H26" s="78">
        <f>I26*J3</f>
        <v>3273.6000000000004</v>
      </c>
      <c r="I26" s="78">
        <f>J26*J2</f>
        <v>1023</v>
      </c>
      <c r="J26" s="78">
        <f>K26*J1</f>
        <v>93</v>
      </c>
      <c r="K26" s="79">
        <f>J4/5*3</f>
        <v>18.600000000000001</v>
      </c>
      <c r="L26" s="1"/>
      <c r="M26" s="1"/>
      <c r="N26" s="1"/>
      <c r="O26" s="1"/>
      <c r="P26" s="1"/>
      <c r="Q26" s="1"/>
      <c r="R26" s="89" t="s">
        <v>97</v>
      </c>
      <c r="S26" s="90">
        <f>S31-S29</f>
        <v>2</v>
      </c>
      <c r="T26" s="90">
        <f t="shared" ref="T26:AW26" si="23">T31-T29</f>
        <v>2</v>
      </c>
      <c r="U26" s="90">
        <f t="shared" si="23"/>
        <v>2</v>
      </c>
      <c r="V26" s="90">
        <f t="shared" si="23"/>
        <v>4</v>
      </c>
      <c r="W26" s="90">
        <f t="shared" si="23"/>
        <v>3</v>
      </c>
      <c r="X26" s="90">
        <f t="shared" si="23"/>
        <v>4</v>
      </c>
      <c r="Y26" s="90">
        <f t="shared" si="23"/>
        <v>3</v>
      </c>
      <c r="Z26" s="90">
        <f t="shared" si="23"/>
        <v>2</v>
      </c>
      <c r="AA26" s="90">
        <f t="shared" si="23"/>
        <v>2</v>
      </c>
      <c r="AB26" s="90">
        <f t="shared" si="23"/>
        <v>3</v>
      </c>
      <c r="AC26" s="90">
        <f t="shared" si="23"/>
        <v>3</v>
      </c>
      <c r="AD26" s="90">
        <f t="shared" si="23"/>
        <v>2</v>
      </c>
      <c r="AE26" s="90">
        <f t="shared" si="23"/>
        <v>2</v>
      </c>
      <c r="AF26" s="90">
        <f t="shared" si="23"/>
        <v>3</v>
      </c>
      <c r="AG26" s="90">
        <f t="shared" si="23"/>
        <v>3</v>
      </c>
      <c r="AH26" s="90">
        <f t="shared" si="23"/>
        <v>3</v>
      </c>
      <c r="AI26" s="90">
        <f t="shared" si="23"/>
        <v>3</v>
      </c>
      <c r="AJ26" s="90">
        <f t="shared" si="23"/>
        <v>3</v>
      </c>
      <c r="AK26" s="90">
        <f t="shared" si="23"/>
        <v>3</v>
      </c>
      <c r="AL26" s="90">
        <f t="shared" si="23"/>
        <v>3</v>
      </c>
      <c r="AM26" s="90">
        <f t="shared" si="23"/>
        <v>3</v>
      </c>
      <c r="AN26" s="90">
        <f t="shared" si="23"/>
        <v>3</v>
      </c>
      <c r="AO26" s="90">
        <f t="shared" si="23"/>
        <v>3</v>
      </c>
      <c r="AP26" s="90">
        <f t="shared" si="23"/>
        <v>3</v>
      </c>
      <c r="AQ26" s="90">
        <f t="shared" si="23"/>
        <v>3</v>
      </c>
      <c r="AR26" s="90">
        <f t="shared" si="23"/>
        <v>3</v>
      </c>
      <c r="AS26" s="90">
        <f t="shared" si="23"/>
        <v>3</v>
      </c>
      <c r="AT26" s="90">
        <f t="shared" si="23"/>
        <v>3</v>
      </c>
      <c r="AU26" s="90">
        <f t="shared" si="23"/>
        <v>3</v>
      </c>
      <c r="AV26" s="90">
        <f t="shared" si="23"/>
        <v>3</v>
      </c>
      <c r="AW26" s="90">
        <f t="shared" si="23"/>
        <v>0</v>
      </c>
      <c r="AX26" s="90">
        <f>SUM(S26:AW26)</f>
        <v>85</v>
      </c>
      <c r="AY26" s="333"/>
    </row>
    <row r="27" spans="1:66" s="1" customFormat="1" ht="15.75" thickBot="1" x14ac:dyDescent="0.3">
      <c r="F27" s="1" t="s">
        <v>253</v>
      </c>
      <c r="J27" s="147">
        <f>IFERROR(J25/K1,0)</f>
        <v>0</v>
      </c>
      <c r="K27" s="59"/>
      <c r="AY27" s="331"/>
    </row>
    <row r="28" spans="1:66" s="2" customFormat="1" ht="16.5" thickTop="1" thickBot="1" x14ac:dyDescent="0.3">
      <c r="R28" s="17" t="s">
        <v>67</v>
      </c>
      <c r="S28" s="91">
        <f>SUMPRODUCT(S8:S24/$N$8:$N$24)</f>
        <v>0</v>
      </c>
      <c r="T28" s="91">
        <f t="shared" ref="T28:AW28" si="24">SUMPRODUCT(T8:T24/$N$8:$N$24)</f>
        <v>0</v>
      </c>
      <c r="U28" s="91">
        <f t="shared" si="24"/>
        <v>0</v>
      </c>
      <c r="V28" s="91">
        <f t="shared" si="24"/>
        <v>0</v>
      </c>
      <c r="W28" s="91">
        <f t="shared" si="24"/>
        <v>0</v>
      </c>
      <c r="X28" s="91">
        <f t="shared" si="24"/>
        <v>0</v>
      </c>
      <c r="Y28" s="91">
        <f t="shared" si="24"/>
        <v>0</v>
      </c>
      <c r="Z28" s="91">
        <f t="shared" si="24"/>
        <v>0</v>
      </c>
      <c r="AA28" s="91">
        <f t="shared" si="24"/>
        <v>0</v>
      </c>
      <c r="AB28" s="91">
        <f t="shared" si="24"/>
        <v>0</v>
      </c>
      <c r="AC28" s="91">
        <f t="shared" si="24"/>
        <v>0</v>
      </c>
      <c r="AD28" s="91">
        <f t="shared" si="24"/>
        <v>0</v>
      </c>
      <c r="AE28" s="91">
        <f t="shared" si="24"/>
        <v>0</v>
      </c>
      <c r="AF28" s="91">
        <f t="shared" si="24"/>
        <v>0</v>
      </c>
      <c r="AG28" s="91">
        <f t="shared" si="24"/>
        <v>0</v>
      </c>
      <c r="AH28" s="91">
        <f t="shared" si="24"/>
        <v>0</v>
      </c>
      <c r="AI28" s="91">
        <f t="shared" si="24"/>
        <v>0</v>
      </c>
      <c r="AJ28" s="91">
        <f t="shared" si="24"/>
        <v>0</v>
      </c>
      <c r="AK28" s="91">
        <f t="shared" si="24"/>
        <v>0</v>
      </c>
      <c r="AL28" s="91">
        <f t="shared" si="24"/>
        <v>0</v>
      </c>
      <c r="AM28" s="91">
        <f t="shared" si="24"/>
        <v>0</v>
      </c>
      <c r="AN28" s="91">
        <f t="shared" si="24"/>
        <v>0</v>
      </c>
      <c r="AO28" s="91">
        <f t="shared" si="24"/>
        <v>0</v>
      </c>
      <c r="AP28" s="91">
        <f t="shared" si="24"/>
        <v>0</v>
      </c>
      <c r="AQ28" s="91">
        <f t="shared" si="24"/>
        <v>0</v>
      </c>
      <c r="AR28" s="91">
        <f t="shared" si="24"/>
        <v>0</v>
      </c>
      <c r="AS28" s="91">
        <f t="shared" si="24"/>
        <v>0</v>
      </c>
      <c r="AT28" s="91">
        <f t="shared" si="24"/>
        <v>0</v>
      </c>
      <c r="AU28" s="91">
        <f t="shared" si="24"/>
        <v>0</v>
      </c>
      <c r="AV28" s="91">
        <f t="shared" si="24"/>
        <v>0</v>
      </c>
      <c r="AW28" s="248">
        <f t="shared" si="24"/>
        <v>0</v>
      </c>
      <c r="AX28" s="257">
        <f>SUM(S28:AW28)</f>
        <v>0</v>
      </c>
      <c r="AY28" s="291"/>
    </row>
    <row r="29" spans="1:66" s="2" customFormat="1" ht="15.75" thickBot="1" x14ac:dyDescent="0.3">
      <c r="R29" s="22" t="s">
        <v>68</v>
      </c>
      <c r="S29" s="23">
        <f>ROUND(S28/$J$2,1)</f>
        <v>0</v>
      </c>
      <c r="T29" s="23">
        <f t="shared" ref="T29:AW29" si="25">ROUND(T28/$J$2,1)</f>
        <v>0</v>
      </c>
      <c r="U29" s="23">
        <f t="shared" si="25"/>
        <v>0</v>
      </c>
      <c r="V29" s="23">
        <f t="shared" si="25"/>
        <v>0</v>
      </c>
      <c r="W29" s="23">
        <f t="shared" si="25"/>
        <v>0</v>
      </c>
      <c r="X29" s="23">
        <f t="shared" si="25"/>
        <v>0</v>
      </c>
      <c r="Y29" s="23">
        <f t="shared" si="25"/>
        <v>0</v>
      </c>
      <c r="Z29" s="23">
        <f t="shared" si="25"/>
        <v>0</v>
      </c>
      <c r="AA29" s="23">
        <f t="shared" si="25"/>
        <v>0</v>
      </c>
      <c r="AB29" s="23">
        <f t="shared" si="25"/>
        <v>0</v>
      </c>
      <c r="AC29" s="23">
        <f t="shared" si="25"/>
        <v>0</v>
      </c>
      <c r="AD29" s="23">
        <f t="shared" si="25"/>
        <v>0</v>
      </c>
      <c r="AE29" s="23">
        <f t="shared" si="25"/>
        <v>0</v>
      </c>
      <c r="AF29" s="23">
        <f t="shared" si="25"/>
        <v>0</v>
      </c>
      <c r="AG29" s="23">
        <f t="shared" si="25"/>
        <v>0</v>
      </c>
      <c r="AH29" s="23">
        <f t="shared" si="25"/>
        <v>0</v>
      </c>
      <c r="AI29" s="23">
        <f t="shared" si="25"/>
        <v>0</v>
      </c>
      <c r="AJ29" s="23">
        <f t="shared" si="25"/>
        <v>0</v>
      </c>
      <c r="AK29" s="23">
        <f t="shared" si="25"/>
        <v>0</v>
      </c>
      <c r="AL29" s="23">
        <f t="shared" si="25"/>
        <v>0</v>
      </c>
      <c r="AM29" s="23">
        <f t="shared" si="25"/>
        <v>0</v>
      </c>
      <c r="AN29" s="23">
        <f t="shared" si="25"/>
        <v>0</v>
      </c>
      <c r="AO29" s="23">
        <f t="shared" si="25"/>
        <v>0</v>
      </c>
      <c r="AP29" s="23">
        <f t="shared" si="25"/>
        <v>0</v>
      </c>
      <c r="AQ29" s="23">
        <f t="shared" si="25"/>
        <v>0</v>
      </c>
      <c r="AR29" s="23">
        <f t="shared" si="25"/>
        <v>0</v>
      </c>
      <c r="AS29" s="23">
        <f t="shared" si="25"/>
        <v>0</v>
      </c>
      <c r="AT29" s="23">
        <f t="shared" si="25"/>
        <v>0</v>
      </c>
      <c r="AU29" s="23">
        <f t="shared" si="25"/>
        <v>0</v>
      </c>
      <c r="AV29" s="23">
        <f t="shared" si="25"/>
        <v>0</v>
      </c>
      <c r="AW29" s="249">
        <f t="shared" si="25"/>
        <v>0</v>
      </c>
      <c r="AX29" s="260">
        <f>SUM(S29:AW29)</f>
        <v>0</v>
      </c>
      <c r="AY29" s="291"/>
    </row>
    <row r="30" spans="1:66" s="2" customFormat="1" ht="15.75" thickBot="1" x14ac:dyDescent="0.3">
      <c r="A30" s="12"/>
      <c r="R30" s="21" t="s">
        <v>69</v>
      </c>
      <c r="S30" s="21" t="str">
        <f>IF(S29=0, "",IF(S29&gt;S31, "!!!", "ок"))</f>
        <v/>
      </c>
      <c r="T30" s="21" t="str">
        <f t="shared" ref="T30:AW30" si="26">IF(T29=0, "",IF(T29&gt;T31, "!!!", "ок"))</f>
        <v/>
      </c>
      <c r="U30" s="21" t="str">
        <f t="shared" si="26"/>
        <v/>
      </c>
      <c r="V30" s="21" t="str">
        <f t="shared" si="26"/>
        <v/>
      </c>
      <c r="W30" s="21" t="str">
        <f t="shared" si="26"/>
        <v/>
      </c>
      <c r="X30" s="21" t="str">
        <f t="shared" si="26"/>
        <v/>
      </c>
      <c r="Y30" s="21" t="str">
        <f t="shared" si="26"/>
        <v/>
      </c>
      <c r="Z30" s="21" t="str">
        <f t="shared" si="26"/>
        <v/>
      </c>
      <c r="AA30" s="21" t="str">
        <f t="shared" si="26"/>
        <v/>
      </c>
      <c r="AB30" s="21" t="str">
        <f t="shared" si="26"/>
        <v/>
      </c>
      <c r="AC30" s="21" t="str">
        <f t="shared" si="26"/>
        <v/>
      </c>
      <c r="AD30" s="21" t="str">
        <f t="shared" si="26"/>
        <v/>
      </c>
      <c r="AE30" s="21" t="str">
        <f t="shared" si="26"/>
        <v/>
      </c>
      <c r="AF30" s="21" t="str">
        <f t="shared" si="26"/>
        <v/>
      </c>
      <c r="AG30" s="21" t="str">
        <f t="shared" si="26"/>
        <v/>
      </c>
      <c r="AH30" s="21" t="str">
        <f t="shared" si="26"/>
        <v/>
      </c>
      <c r="AI30" s="21" t="str">
        <f t="shared" si="26"/>
        <v/>
      </c>
      <c r="AJ30" s="21" t="str">
        <f t="shared" si="26"/>
        <v/>
      </c>
      <c r="AK30" s="21" t="str">
        <f t="shared" si="26"/>
        <v/>
      </c>
      <c r="AL30" s="21" t="str">
        <f t="shared" si="26"/>
        <v/>
      </c>
      <c r="AM30" s="21" t="str">
        <f t="shared" si="26"/>
        <v/>
      </c>
      <c r="AN30" s="21" t="str">
        <f t="shared" si="26"/>
        <v/>
      </c>
      <c r="AO30" s="21" t="str">
        <f t="shared" si="26"/>
        <v/>
      </c>
      <c r="AP30" s="21" t="str">
        <f t="shared" si="26"/>
        <v/>
      </c>
      <c r="AQ30" s="21" t="str">
        <f t="shared" si="26"/>
        <v/>
      </c>
      <c r="AR30" s="21" t="str">
        <f t="shared" si="26"/>
        <v/>
      </c>
      <c r="AS30" s="21" t="str">
        <f t="shared" si="26"/>
        <v/>
      </c>
      <c r="AT30" s="21" t="str">
        <f t="shared" si="26"/>
        <v/>
      </c>
      <c r="AU30" s="21" t="str">
        <f t="shared" si="26"/>
        <v/>
      </c>
      <c r="AV30" s="21" t="str">
        <f t="shared" si="26"/>
        <v/>
      </c>
      <c r="AW30" s="250" t="str">
        <f t="shared" si="26"/>
        <v/>
      </c>
      <c r="AX30" s="258"/>
      <c r="AY30" s="293"/>
    </row>
    <row r="31" spans="1:66" s="3" customFormat="1" ht="29.25" customHeight="1" thickBot="1" x14ac:dyDescent="0.3">
      <c r="A31" s="52" t="s">
        <v>76</v>
      </c>
      <c r="B31" s="52"/>
      <c r="C31" s="52"/>
      <c r="D31" s="52"/>
      <c r="E31" s="52"/>
      <c r="F31" s="52"/>
      <c r="G31" s="52"/>
      <c r="H31" s="52" t="s">
        <v>10</v>
      </c>
      <c r="I31" s="52" t="s">
        <v>5</v>
      </c>
      <c r="J31" s="52" t="s">
        <v>6</v>
      </c>
      <c r="K31" s="52" t="s">
        <v>79</v>
      </c>
      <c r="L31" s="2"/>
      <c r="M31" s="2"/>
      <c r="N31" s="2"/>
      <c r="O31" s="2"/>
      <c r="R31" s="18" t="s">
        <v>66</v>
      </c>
      <c r="S31" s="19">
        <f>SUM(S32:S38)</f>
        <v>2</v>
      </c>
      <c r="T31" s="19">
        <f t="shared" ref="T31:AV31" si="27">SUM(T32:T38)</f>
        <v>2</v>
      </c>
      <c r="U31" s="19">
        <f t="shared" si="27"/>
        <v>2</v>
      </c>
      <c r="V31" s="19">
        <f t="shared" si="27"/>
        <v>4</v>
      </c>
      <c r="W31" s="19">
        <f t="shared" si="27"/>
        <v>3</v>
      </c>
      <c r="X31" s="19">
        <f t="shared" si="27"/>
        <v>4</v>
      </c>
      <c r="Y31" s="19">
        <f t="shared" si="27"/>
        <v>3</v>
      </c>
      <c r="Z31" s="19">
        <f t="shared" si="27"/>
        <v>2</v>
      </c>
      <c r="AA31" s="19">
        <f t="shared" si="27"/>
        <v>2</v>
      </c>
      <c r="AB31" s="19">
        <f t="shared" si="27"/>
        <v>3</v>
      </c>
      <c r="AC31" s="19">
        <f t="shared" si="27"/>
        <v>3</v>
      </c>
      <c r="AD31" s="19">
        <f t="shared" si="27"/>
        <v>2</v>
      </c>
      <c r="AE31" s="19">
        <f t="shared" si="27"/>
        <v>2</v>
      </c>
      <c r="AF31" s="19">
        <f t="shared" si="27"/>
        <v>3</v>
      </c>
      <c r="AG31" s="19">
        <f t="shared" si="27"/>
        <v>3</v>
      </c>
      <c r="AH31" s="19">
        <f t="shared" si="27"/>
        <v>3</v>
      </c>
      <c r="AI31" s="19">
        <f t="shared" si="27"/>
        <v>3</v>
      </c>
      <c r="AJ31" s="19">
        <f t="shared" si="27"/>
        <v>3</v>
      </c>
      <c r="AK31" s="19">
        <f t="shared" si="27"/>
        <v>3</v>
      </c>
      <c r="AL31" s="19">
        <f t="shared" si="27"/>
        <v>3</v>
      </c>
      <c r="AM31" s="19">
        <f t="shared" si="27"/>
        <v>3</v>
      </c>
      <c r="AN31" s="19">
        <f t="shared" si="27"/>
        <v>3</v>
      </c>
      <c r="AO31" s="19">
        <f t="shared" si="27"/>
        <v>3</v>
      </c>
      <c r="AP31" s="19">
        <f t="shared" si="27"/>
        <v>3</v>
      </c>
      <c r="AQ31" s="19">
        <f t="shared" si="27"/>
        <v>3</v>
      </c>
      <c r="AR31" s="19">
        <f t="shared" si="27"/>
        <v>3</v>
      </c>
      <c r="AS31" s="19">
        <f t="shared" si="27"/>
        <v>3</v>
      </c>
      <c r="AT31" s="19">
        <f t="shared" si="27"/>
        <v>3</v>
      </c>
      <c r="AU31" s="19">
        <f t="shared" si="27"/>
        <v>3</v>
      </c>
      <c r="AV31" s="19">
        <f t="shared" si="27"/>
        <v>3</v>
      </c>
      <c r="AW31" s="251"/>
      <c r="AX31" s="261">
        <f>SUM(S31:AW31)</f>
        <v>85</v>
      </c>
      <c r="AY31" s="292"/>
    </row>
    <row r="32" spans="1:66" s="2" customFormat="1" x14ac:dyDescent="0.25">
      <c r="A32" s="8" t="s">
        <v>77</v>
      </c>
      <c r="B32" s="8"/>
      <c r="C32" s="8"/>
      <c r="D32" s="8"/>
      <c r="E32" s="8"/>
      <c r="F32" s="8"/>
      <c r="G32" s="8"/>
      <c r="H32" s="8">
        <f>L25</f>
        <v>0</v>
      </c>
      <c r="I32" s="8">
        <f>J32*J2</f>
        <v>0</v>
      </c>
      <c r="J32" s="50"/>
      <c r="K32" s="8">
        <f>IFERROR(H32/I32,0)</f>
        <v>0</v>
      </c>
      <c r="R32" s="245" t="s">
        <v>373</v>
      </c>
      <c r="S32" s="262">
        <v>1</v>
      </c>
      <c r="T32" s="262">
        <v>1</v>
      </c>
      <c r="U32" s="263" t="s">
        <v>112</v>
      </c>
      <c r="V32" s="262">
        <v>1</v>
      </c>
      <c r="W32" s="262">
        <v>1</v>
      </c>
      <c r="X32" s="262">
        <v>1</v>
      </c>
      <c r="Y32" s="262">
        <v>1</v>
      </c>
      <c r="Z32" s="263" t="s">
        <v>112</v>
      </c>
      <c r="AA32" s="263" t="s">
        <v>112</v>
      </c>
      <c r="AB32" s="262">
        <v>1</v>
      </c>
      <c r="AC32" s="262">
        <v>1</v>
      </c>
      <c r="AD32" s="262">
        <v>1</v>
      </c>
      <c r="AE32" s="263" t="s">
        <v>112</v>
      </c>
      <c r="AF32" s="263" t="s">
        <v>112</v>
      </c>
      <c r="AG32" s="262">
        <v>1</v>
      </c>
      <c r="AH32" s="262">
        <v>1</v>
      </c>
      <c r="AI32" s="262">
        <v>1</v>
      </c>
      <c r="AJ32" s="263" t="s">
        <v>112</v>
      </c>
      <c r="AK32" s="263" t="s">
        <v>112</v>
      </c>
      <c r="AL32" s="262">
        <v>1</v>
      </c>
      <c r="AM32" s="262">
        <v>1</v>
      </c>
      <c r="AN32" s="262">
        <v>1</v>
      </c>
      <c r="AO32" s="263" t="s">
        <v>112</v>
      </c>
      <c r="AP32" s="263" t="s">
        <v>112</v>
      </c>
      <c r="AQ32" s="262">
        <v>1</v>
      </c>
      <c r="AR32" s="262">
        <v>1</v>
      </c>
      <c r="AS32" s="262">
        <v>1</v>
      </c>
      <c r="AT32" s="263" t="s">
        <v>112</v>
      </c>
      <c r="AU32" s="263" t="s">
        <v>112</v>
      </c>
      <c r="AV32" s="262">
        <v>1</v>
      </c>
      <c r="AW32" s="264"/>
      <c r="AX32" s="259">
        <f>SUM(S32:AW32)</f>
        <v>19</v>
      </c>
      <c r="AY32" s="292"/>
    </row>
    <row r="33" spans="1:51" s="2" customFormat="1" x14ac:dyDescent="0.25">
      <c r="A33" s="9" t="s">
        <v>7</v>
      </c>
      <c r="B33" s="9"/>
      <c r="C33" s="9"/>
      <c r="D33" s="9"/>
      <c r="E33" s="9"/>
      <c r="F33" s="9"/>
      <c r="G33" s="9"/>
      <c r="H33" s="10">
        <f>IFERROR(H32/H25,0)</f>
        <v>0</v>
      </c>
      <c r="I33" s="10">
        <f t="shared" ref="I33" si="28">IFERROR(I32/I25,0)</f>
        <v>0</v>
      </c>
      <c r="J33" s="10">
        <f>IFERROR(J32/J25,0)</f>
        <v>0</v>
      </c>
      <c r="K33" s="10">
        <f>IFERROR(K32/J3,0)</f>
        <v>0</v>
      </c>
      <c r="R33" s="245" t="s">
        <v>374</v>
      </c>
      <c r="S33" s="262">
        <v>1</v>
      </c>
      <c r="T33" s="262">
        <v>1</v>
      </c>
      <c r="U33" s="262">
        <v>1</v>
      </c>
      <c r="V33" s="262">
        <v>1</v>
      </c>
      <c r="W33" s="263" t="s">
        <v>112</v>
      </c>
      <c r="X33" s="262">
        <v>1</v>
      </c>
      <c r="Y33" s="262">
        <v>1</v>
      </c>
      <c r="Z33" s="262">
        <v>1</v>
      </c>
      <c r="AA33" s="263" t="s">
        <v>112</v>
      </c>
      <c r="AB33" s="263" t="s">
        <v>112</v>
      </c>
      <c r="AC33" s="262">
        <v>1</v>
      </c>
      <c r="AD33" s="262">
        <v>1</v>
      </c>
      <c r="AE33" s="262">
        <v>1</v>
      </c>
      <c r="AF33" s="263" t="s">
        <v>112</v>
      </c>
      <c r="AG33" s="263" t="s">
        <v>112</v>
      </c>
      <c r="AH33" s="262">
        <v>1</v>
      </c>
      <c r="AI33" s="262">
        <v>1</v>
      </c>
      <c r="AJ33" s="262">
        <v>1</v>
      </c>
      <c r="AK33" s="263" t="s">
        <v>112</v>
      </c>
      <c r="AL33" s="263" t="s">
        <v>112</v>
      </c>
      <c r="AM33" s="262">
        <v>1</v>
      </c>
      <c r="AN33" s="262">
        <v>1</v>
      </c>
      <c r="AO33" s="262">
        <v>1</v>
      </c>
      <c r="AP33" s="263" t="s">
        <v>112</v>
      </c>
      <c r="AQ33" s="263" t="s">
        <v>112</v>
      </c>
      <c r="AR33" s="262">
        <v>1</v>
      </c>
      <c r="AS33" s="262">
        <v>1</v>
      </c>
      <c r="AT33" s="262">
        <v>1</v>
      </c>
      <c r="AU33" s="263" t="s">
        <v>112</v>
      </c>
      <c r="AV33" s="263" t="s">
        <v>112</v>
      </c>
      <c r="AW33" s="265"/>
      <c r="AX33" s="254">
        <f t="shared" ref="AX33:AX48" si="29">SUM(S33:AW33)</f>
        <v>19</v>
      </c>
      <c r="AY33" s="292"/>
    </row>
    <row r="34" spans="1:51" s="2" customFormat="1" x14ac:dyDescent="0.25">
      <c r="R34" s="245" t="s">
        <v>375</v>
      </c>
      <c r="S34" s="263" t="s">
        <v>243</v>
      </c>
      <c r="T34" s="263" t="s">
        <v>243</v>
      </c>
      <c r="U34" s="263" t="s">
        <v>243</v>
      </c>
      <c r="V34" s="263" t="s">
        <v>243</v>
      </c>
      <c r="W34" s="263" t="s">
        <v>243</v>
      </c>
      <c r="X34" s="263" t="s">
        <v>243</v>
      </c>
      <c r="Y34" s="263" t="s">
        <v>243</v>
      </c>
      <c r="Z34" s="263" t="s">
        <v>243</v>
      </c>
      <c r="AA34" s="263" t="s">
        <v>243</v>
      </c>
      <c r="AB34" s="263" t="s">
        <v>243</v>
      </c>
      <c r="AC34" s="263" t="s">
        <v>243</v>
      </c>
      <c r="AD34" s="263" t="s">
        <v>243</v>
      </c>
      <c r="AE34" s="263" t="s">
        <v>243</v>
      </c>
      <c r="AF34" s="262">
        <v>1</v>
      </c>
      <c r="AG34" s="263" t="s">
        <v>112</v>
      </c>
      <c r="AH34" s="263" t="s">
        <v>112</v>
      </c>
      <c r="AI34" s="262">
        <v>1</v>
      </c>
      <c r="AJ34" s="262">
        <v>1</v>
      </c>
      <c r="AK34" s="262">
        <v>1</v>
      </c>
      <c r="AL34" s="263" t="s">
        <v>112</v>
      </c>
      <c r="AM34" s="263" t="s">
        <v>112</v>
      </c>
      <c r="AN34" s="262">
        <v>1</v>
      </c>
      <c r="AO34" s="262">
        <v>1</v>
      </c>
      <c r="AP34" s="262">
        <v>1</v>
      </c>
      <c r="AQ34" s="263" t="s">
        <v>112</v>
      </c>
      <c r="AR34" s="263" t="s">
        <v>112</v>
      </c>
      <c r="AS34" s="262">
        <v>1</v>
      </c>
      <c r="AT34" s="262">
        <v>1</v>
      </c>
      <c r="AU34" s="262">
        <v>1</v>
      </c>
      <c r="AV34" s="263" t="s">
        <v>112</v>
      </c>
      <c r="AW34" s="265"/>
      <c r="AX34" s="254">
        <f t="shared" si="29"/>
        <v>10</v>
      </c>
      <c r="AY34" s="292"/>
    </row>
    <row r="35" spans="1:51" s="2" customFormat="1" x14ac:dyDescent="0.25">
      <c r="R35" s="245" t="s">
        <v>376</v>
      </c>
      <c r="S35" s="263" t="s">
        <v>112</v>
      </c>
      <c r="T35" s="263" t="s">
        <v>112</v>
      </c>
      <c r="U35" s="262">
        <v>1</v>
      </c>
      <c r="V35" s="262">
        <v>1</v>
      </c>
      <c r="W35" s="262">
        <v>1</v>
      </c>
      <c r="X35" s="262">
        <v>1</v>
      </c>
      <c r="Y35" s="263" t="s">
        <v>112</v>
      </c>
      <c r="Z35" s="262">
        <v>1</v>
      </c>
      <c r="AA35" s="262">
        <v>1</v>
      </c>
      <c r="AB35" s="262">
        <v>1</v>
      </c>
      <c r="AC35" s="263" t="s">
        <v>112</v>
      </c>
      <c r="AD35" s="263" t="s">
        <v>112</v>
      </c>
      <c r="AE35" s="262">
        <v>1</v>
      </c>
      <c r="AF35" s="262">
        <v>1</v>
      </c>
      <c r="AG35" s="262">
        <v>1</v>
      </c>
      <c r="AH35" s="263" t="s">
        <v>112</v>
      </c>
      <c r="AI35" s="263" t="s">
        <v>112</v>
      </c>
      <c r="AJ35" s="262">
        <v>1</v>
      </c>
      <c r="AK35" s="262">
        <v>1</v>
      </c>
      <c r="AL35" s="262">
        <v>1</v>
      </c>
      <c r="AM35" s="263" t="s">
        <v>112</v>
      </c>
      <c r="AN35" s="263" t="s">
        <v>112</v>
      </c>
      <c r="AO35" s="262">
        <v>1</v>
      </c>
      <c r="AP35" s="262">
        <v>1</v>
      </c>
      <c r="AQ35" s="262">
        <v>1</v>
      </c>
      <c r="AR35" s="263" t="s">
        <v>112</v>
      </c>
      <c r="AS35" s="263" t="s">
        <v>112</v>
      </c>
      <c r="AT35" s="262">
        <v>1</v>
      </c>
      <c r="AU35" s="262">
        <v>1</v>
      </c>
      <c r="AV35" s="262">
        <v>1</v>
      </c>
      <c r="AW35" s="265"/>
      <c r="AX35" s="254">
        <f t="shared" si="29"/>
        <v>19</v>
      </c>
      <c r="AY35" s="292"/>
    </row>
    <row r="36" spans="1:51" x14ac:dyDescent="0.25">
      <c r="A36" s="281" t="s">
        <v>315</v>
      </c>
      <c r="B36" s="281" t="s">
        <v>316</v>
      </c>
      <c r="C36" s="281" t="s">
        <v>317</v>
      </c>
      <c r="Q36" s="145"/>
      <c r="R36" s="245" t="s">
        <v>377</v>
      </c>
      <c r="S36" s="266" t="s">
        <v>252</v>
      </c>
      <c r="T36" s="266" t="s">
        <v>252</v>
      </c>
      <c r="U36" s="266" t="s">
        <v>252</v>
      </c>
      <c r="V36" s="262">
        <v>1</v>
      </c>
      <c r="W36" s="262">
        <v>1</v>
      </c>
      <c r="X36" s="262">
        <v>1</v>
      </c>
      <c r="Y36" s="262">
        <v>1</v>
      </c>
      <c r="Z36" s="263" t="s">
        <v>112</v>
      </c>
      <c r="AA36" s="262">
        <v>1</v>
      </c>
      <c r="AB36" s="262">
        <v>1</v>
      </c>
      <c r="AC36" s="262">
        <v>1</v>
      </c>
      <c r="AD36" s="263" t="s">
        <v>112</v>
      </c>
      <c r="AE36" s="263" t="s">
        <v>112</v>
      </c>
      <c r="AF36" s="262">
        <v>1</v>
      </c>
      <c r="AG36" s="262">
        <v>1</v>
      </c>
      <c r="AH36" s="262">
        <v>1</v>
      </c>
      <c r="AI36" s="263" t="s">
        <v>112</v>
      </c>
      <c r="AJ36" s="263" t="s">
        <v>112</v>
      </c>
      <c r="AK36" s="262">
        <v>1</v>
      </c>
      <c r="AL36" s="262">
        <v>1</v>
      </c>
      <c r="AM36" s="262">
        <v>1</v>
      </c>
      <c r="AN36" s="263" t="s">
        <v>112</v>
      </c>
      <c r="AO36" s="263" t="s">
        <v>112</v>
      </c>
      <c r="AP36" s="262">
        <v>1</v>
      </c>
      <c r="AQ36" s="262">
        <v>1</v>
      </c>
      <c r="AR36" s="262">
        <v>1</v>
      </c>
      <c r="AS36" s="263" t="s">
        <v>112</v>
      </c>
      <c r="AT36" s="263" t="s">
        <v>112</v>
      </c>
      <c r="AU36" s="262">
        <v>1</v>
      </c>
      <c r="AV36" s="262">
        <v>1</v>
      </c>
      <c r="AW36" s="265"/>
      <c r="AX36" s="254">
        <f t="shared" si="29"/>
        <v>18</v>
      </c>
      <c r="AY36" s="292"/>
    </row>
    <row r="37" spans="1:51" x14ac:dyDescent="0.25">
      <c r="A37" s="198" t="s">
        <v>291</v>
      </c>
      <c r="B37" s="282"/>
      <c r="C37" s="280">
        <f>IFERROR(B37/$K$1,"")</f>
        <v>0</v>
      </c>
      <c r="R37" s="245" t="s">
        <v>64</v>
      </c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8"/>
      <c r="AX37" s="254">
        <f t="shared" si="29"/>
        <v>0</v>
      </c>
      <c r="AY37" s="292"/>
    </row>
    <row r="38" spans="1:51" ht="15.75" thickBot="1" x14ac:dyDescent="0.3">
      <c r="A38" s="198" t="s">
        <v>292</v>
      </c>
      <c r="B38" s="282"/>
      <c r="C38" s="280">
        <f>IFERROR(B38/$K$1,"")</f>
        <v>0</v>
      </c>
      <c r="R38" s="245" t="s">
        <v>65</v>
      </c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67"/>
      <c r="AU38" s="267"/>
      <c r="AV38" s="267"/>
      <c r="AW38" s="268"/>
      <c r="AX38" s="255">
        <f t="shared" si="29"/>
        <v>0</v>
      </c>
      <c r="AY38" s="292"/>
    </row>
    <row r="39" spans="1:51" ht="15.75" thickTop="1" x14ac:dyDescent="0.25">
      <c r="A39" s="198" t="s">
        <v>293</v>
      </c>
      <c r="B39" s="282"/>
      <c r="C39" s="280">
        <f t="shared" ref="C39:C41" si="30">IFERROR(B39/$K$1,"")</f>
        <v>0</v>
      </c>
      <c r="AX39" s="201"/>
      <c r="AY39" s="332"/>
    </row>
    <row r="40" spans="1:51" ht="15.75" thickBot="1" x14ac:dyDescent="0.3">
      <c r="A40" s="198" t="s">
        <v>294</v>
      </c>
      <c r="B40" s="282"/>
      <c r="C40" s="280">
        <f t="shared" si="30"/>
        <v>0</v>
      </c>
      <c r="R40" s="414" t="s">
        <v>313</v>
      </c>
      <c r="S40" s="414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4"/>
      <c r="AL40" s="414"/>
      <c r="AM40" s="414"/>
      <c r="AN40" s="414"/>
      <c r="AO40" s="414"/>
      <c r="AP40" s="414"/>
      <c r="AQ40" s="414"/>
      <c r="AR40" s="414"/>
      <c r="AS40" s="414"/>
      <c r="AT40" s="414"/>
      <c r="AU40" s="414"/>
      <c r="AV40" s="414"/>
      <c r="AW40" s="414"/>
      <c r="AX40" s="201"/>
      <c r="AY40" s="332"/>
    </row>
    <row r="41" spans="1:51" ht="16.5" thickTop="1" thickBot="1" x14ac:dyDescent="0.3">
      <c r="A41" s="198" t="s">
        <v>295</v>
      </c>
      <c r="B41" s="282"/>
      <c r="C41" s="280">
        <f t="shared" si="30"/>
        <v>0</v>
      </c>
      <c r="P41" s="415" t="s">
        <v>312</v>
      </c>
      <c r="Q41" s="416"/>
      <c r="R41" s="246" t="s">
        <v>314</v>
      </c>
      <c r="S41" s="159">
        <v>1</v>
      </c>
      <c r="T41" s="57">
        <v>2</v>
      </c>
      <c r="U41" s="16">
        <v>3</v>
      </c>
      <c r="V41" s="16">
        <v>4</v>
      </c>
      <c r="W41" s="16">
        <v>5</v>
      </c>
      <c r="X41" s="16">
        <v>6</v>
      </c>
      <c r="Y41" s="16">
        <v>7</v>
      </c>
      <c r="Z41" s="57">
        <v>8</v>
      </c>
      <c r="AA41" s="57">
        <v>9</v>
      </c>
      <c r="AB41" s="16">
        <v>10</v>
      </c>
      <c r="AC41" s="16">
        <v>11</v>
      </c>
      <c r="AD41" s="16">
        <v>12</v>
      </c>
      <c r="AE41" s="16">
        <v>13</v>
      </c>
      <c r="AF41" s="16">
        <v>14</v>
      </c>
      <c r="AG41" s="57">
        <v>15</v>
      </c>
      <c r="AH41" s="57">
        <v>16</v>
      </c>
      <c r="AI41" s="16">
        <v>17</v>
      </c>
      <c r="AJ41" s="16">
        <v>18</v>
      </c>
      <c r="AK41" s="16">
        <v>19</v>
      </c>
      <c r="AL41" s="16">
        <v>20</v>
      </c>
      <c r="AM41" s="16">
        <v>21</v>
      </c>
      <c r="AN41" s="57">
        <v>22</v>
      </c>
      <c r="AO41" s="57">
        <v>23</v>
      </c>
      <c r="AP41" s="16">
        <v>24</v>
      </c>
      <c r="AQ41" s="16">
        <v>25</v>
      </c>
      <c r="AR41" s="16">
        <v>26</v>
      </c>
      <c r="AS41" s="16">
        <v>27</v>
      </c>
      <c r="AT41" s="16">
        <v>28</v>
      </c>
      <c r="AU41" s="57">
        <v>29</v>
      </c>
      <c r="AV41" s="57">
        <v>30</v>
      </c>
      <c r="AW41" s="253"/>
      <c r="AX41" s="256" t="s">
        <v>159</v>
      </c>
      <c r="AY41" s="292"/>
    </row>
    <row r="42" spans="1:51" x14ac:dyDescent="0.25">
      <c r="P42" s="412"/>
      <c r="Q42" s="413"/>
      <c r="R42" s="247" t="s">
        <v>373</v>
      </c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252"/>
      <c r="AX42" s="254">
        <f t="shared" si="29"/>
        <v>0</v>
      </c>
      <c r="AY42" s="292"/>
    </row>
    <row r="43" spans="1:51" x14ac:dyDescent="0.25">
      <c r="P43" s="412"/>
      <c r="Q43" s="413"/>
      <c r="R43" s="247" t="s">
        <v>374</v>
      </c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252"/>
      <c r="AX43" s="254">
        <f t="shared" si="29"/>
        <v>0</v>
      </c>
      <c r="AY43" s="292"/>
    </row>
    <row r="44" spans="1:51" x14ac:dyDescent="0.25">
      <c r="P44" s="412"/>
      <c r="Q44" s="413"/>
      <c r="R44" s="247" t="s">
        <v>375</v>
      </c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252"/>
      <c r="AX44" s="254">
        <f t="shared" si="29"/>
        <v>0</v>
      </c>
      <c r="AY44" s="292"/>
    </row>
    <row r="45" spans="1:51" x14ac:dyDescent="0.25">
      <c r="P45" s="412"/>
      <c r="Q45" s="413"/>
      <c r="R45" s="247" t="s">
        <v>376</v>
      </c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252"/>
      <c r="AX45" s="254">
        <f t="shared" si="29"/>
        <v>0</v>
      </c>
      <c r="AY45" s="292"/>
    </row>
    <row r="46" spans="1:51" x14ac:dyDescent="0.25">
      <c r="P46" s="412"/>
      <c r="Q46" s="413"/>
      <c r="R46" s="247" t="s">
        <v>377</v>
      </c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252"/>
      <c r="AX46" s="254">
        <f t="shared" si="29"/>
        <v>0</v>
      </c>
      <c r="AY46" s="292"/>
    </row>
    <row r="47" spans="1:51" x14ac:dyDescent="0.25">
      <c r="P47" s="412"/>
      <c r="Q47" s="413"/>
      <c r="R47" s="247" t="s">
        <v>64</v>
      </c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252"/>
      <c r="AX47" s="254">
        <f t="shared" si="29"/>
        <v>0</v>
      </c>
      <c r="AY47" s="292"/>
    </row>
    <row r="48" spans="1:51" ht="15.75" thickBot="1" x14ac:dyDescent="0.3">
      <c r="P48" s="412"/>
      <c r="Q48" s="413"/>
      <c r="R48" s="247" t="s">
        <v>65</v>
      </c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252"/>
      <c r="AX48" s="255">
        <f t="shared" si="29"/>
        <v>0</v>
      </c>
      <c r="AY48" s="292"/>
    </row>
    <row r="49" ht="15.75" thickTop="1" x14ac:dyDescent="0.25"/>
  </sheetData>
  <mergeCells count="36">
    <mergeCell ref="F6:G6"/>
    <mergeCell ref="P6:P7"/>
    <mergeCell ref="AX5:AY5"/>
    <mergeCell ref="BL5:BL7"/>
    <mergeCell ref="S5:AW5"/>
    <mergeCell ref="R5:R7"/>
    <mergeCell ref="BM5:BN6"/>
    <mergeCell ref="BA5:BA7"/>
    <mergeCell ref="BB5:BD6"/>
    <mergeCell ref="BE5:BG6"/>
    <mergeCell ref="BH5:BH7"/>
    <mergeCell ref="BI5:BK6"/>
    <mergeCell ref="A26:E26"/>
    <mergeCell ref="Q6:Q7"/>
    <mergeCell ref="N6:N7"/>
    <mergeCell ref="N5:Q5"/>
    <mergeCell ref="B5:K5"/>
    <mergeCell ref="C6:E6"/>
    <mergeCell ref="A5:A7"/>
    <mergeCell ref="B6:B7"/>
    <mergeCell ref="K6:K7"/>
    <mergeCell ref="I6:J6"/>
    <mergeCell ref="H6:H7"/>
    <mergeCell ref="L6:L7"/>
    <mergeCell ref="M6:M7"/>
    <mergeCell ref="L5:M5"/>
    <mergeCell ref="O6:O7"/>
    <mergeCell ref="P45:Q45"/>
    <mergeCell ref="P46:Q46"/>
    <mergeCell ref="P47:Q47"/>
    <mergeCell ref="P48:Q48"/>
    <mergeCell ref="R40:AW40"/>
    <mergeCell ref="P41:Q41"/>
    <mergeCell ref="P42:Q42"/>
    <mergeCell ref="P43:Q43"/>
    <mergeCell ref="P44:Q44"/>
  </mergeCells>
  <conditionalFormatting sqref="AW32:AW38">
    <cfRule type="cellIs" dxfId="128" priority="20" operator="equal">
      <formula>1</formula>
    </cfRule>
  </conditionalFormatting>
  <conditionalFormatting sqref="S30:AW30">
    <cfRule type="cellIs" dxfId="127" priority="19" operator="equal">
      <formula>"!!!"</formula>
    </cfRule>
  </conditionalFormatting>
  <conditionalFormatting sqref="R8:R24">
    <cfRule type="cellIs" dxfId="126" priority="17" operator="lessThan">
      <formula>0</formula>
    </cfRule>
    <cfRule type="cellIs" dxfId="125" priority="18" operator="equal">
      <formula>0</formula>
    </cfRule>
  </conditionalFormatting>
  <conditionalFormatting sqref="S26:AW26">
    <cfRule type="cellIs" dxfId="124" priority="15" operator="lessThan">
      <formula>-0.1</formula>
    </cfRule>
    <cfRule type="cellIs" dxfId="123" priority="16" operator="equal">
      <formula>0</formula>
    </cfRule>
  </conditionalFormatting>
  <conditionalFormatting sqref="S32:AV38">
    <cfRule type="cellIs" dxfId="122" priority="14" operator="equal">
      <formula>1</formula>
    </cfRule>
  </conditionalFormatting>
  <conditionalFormatting sqref="BC8:BD25 BA8:BA25 BF8:BM25">
    <cfRule type="cellIs" dxfId="121" priority="13" operator="equal">
      <formula>0</formula>
    </cfRule>
  </conditionalFormatting>
  <conditionalFormatting sqref="BN8:BN25">
    <cfRule type="cellIs" dxfId="120" priority="12" operator="equal">
      <formula>0</formula>
    </cfRule>
  </conditionalFormatting>
  <conditionalFormatting sqref="R40">
    <cfRule type="cellIs" dxfId="119" priority="11" operator="equal">
      <formula>1</formula>
    </cfRule>
  </conditionalFormatting>
  <conditionalFormatting sqref="S42:AW48">
    <cfRule type="cellIs" dxfId="118" priority="9" operator="equal">
      <formula>1</formula>
    </cfRule>
  </conditionalFormatting>
  <conditionalFormatting sqref="AX26:AY26">
    <cfRule type="cellIs" dxfId="117" priority="7" operator="lessThan">
      <formula>-0.1</formula>
    </cfRule>
    <cfRule type="cellIs" dxfId="116" priority="8" operator="equal">
      <formula>0</formula>
    </cfRule>
  </conditionalFormatting>
  <conditionalFormatting sqref="S6:AW6">
    <cfRule type="containsText" dxfId="115" priority="5" operator="containsText" text="пл">
      <formula>NOT(ISERROR(SEARCH("пл",S6)))</formula>
    </cfRule>
    <cfRule type="containsText" dxfId="114" priority="6" operator="containsText" text="ф">
      <formula>NOT(ISERROR(SEARCH("ф",S6)))</formula>
    </cfRule>
  </conditionalFormatting>
  <conditionalFormatting sqref="AX6">
    <cfRule type="containsText" dxfId="113" priority="1" operator="containsText" text="пл">
      <formula>NOT(ISERROR(SEARCH("пл",AX6)))</formula>
    </cfRule>
    <cfRule type="containsText" dxfId="112" priority="2" operator="containsText" text="ф">
      <formula>NOT(ISERROR(SEARCH("ф",AX6)))</formula>
    </cfRule>
  </conditionalFormatting>
  <conditionalFormatting sqref="AY6">
    <cfRule type="containsText" dxfId="111" priority="3" operator="containsText" text="пл">
      <formula>NOT(ISERROR(SEARCH("пл",AY6)))</formula>
    </cfRule>
    <cfRule type="containsText" dxfId="110" priority="4" operator="containsText" text="ф">
      <formula>NOT(ISERROR(SEARCH("ф",AY6)))</formula>
    </cfRule>
  </conditionalFormatting>
  <dataValidations count="1">
    <dataValidation type="list" allowBlank="1" showInputMessage="1" showErrorMessage="1" sqref="BE3" xr:uid="{00000000-0002-0000-0000-000000000000}">
      <formula1>$CD$1:$CD$2</formula1>
    </dataValidation>
  </dataValidations>
  <pageMargins left="0.7" right="0.7" top="0.75" bottom="0.75" header="0.3" footer="0.3"/>
  <pageSetup paperSize="9" orientation="portrait" r:id="rId1"/>
  <ignoredErrors>
    <ignoredError sqref="S25:AW25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E4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N3" sqref="N3"/>
    </sheetView>
  </sheetViews>
  <sheetFormatPr defaultRowHeight="15" outlineLevelCol="1" x14ac:dyDescent="0.25"/>
  <cols>
    <col min="1" max="1" width="38" customWidth="1"/>
    <col min="2" max="2" width="33.85546875" style="330" customWidth="1" outlineLevel="1"/>
    <col min="3" max="5" width="9" style="330" customWidth="1" outlineLevel="1"/>
    <col min="6" max="6" width="9.5703125" style="330" customWidth="1"/>
    <col min="7" max="7" width="8.7109375" customWidth="1"/>
    <col min="8" max="8" width="10.7109375" customWidth="1"/>
    <col min="9" max="9" width="8.7109375" customWidth="1"/>
    <col min="10" max="10" width="9.28515625" customWidth="1"/>
    <col min="11" max="12" width="9.7109375" customWidth="1"/>
    <col min="13" max="13" width="12" customWidth="1"/>
    <col min="14" max="14" width="9.7109375" customWidth="1"/>
    <col min="15" max="15" width="11.7109375" customWidth="1"/>
    <col min="16" max="16" width="10.140625" customWidth="1" outlineLevel="1"/>
    <col min="17" max="17" width="10.42578125" customWidth="1" outlineLevel="1"/>
    <col min="18" max="19" width="9.140625" customWidth="1" outlineLevel="1"/>
    <col min="20" max="20" width="15.7109375" customWidth="1"/>
    <col min="21" max="51" width="4.85546875" style="2" customWidth="1"/>
    <col min="52" max="52" width="5.85546875" customWidth="1"/>
    <col min="53" max="53" width="6.7109375" style="330" customWidth="1"/>
    <col min="54" max="54" width="10.28515625" customWidth="1"/>
    <col min="60" max="60" width="10.85546875" customWidth="1"/>
    <col min="61" max="62" width="11" customWidth="1"/>
  </cols>
  <sheetData>
    <row r="1" spans="1:83" ht="19.5" thickBot="1" x14ac:dyDescent="0.35">
      <c r="A1" s="51" t="s">
        <v>99</v>
      </c>
      <c r="B1" s="287"/>
      <c r="C1" s="287"/>
      <c r="D1" s="287"/>
      <c r="E1" s="287"/>
      <c r="F1" s="287"/>
      <c r="K1" s="25" t="s">
        <v>4</v>
      </c>
      <c r="L1" s="42">
        <v>1</v>
      </c>
      <c r="M1" s="42">
        <v>1</v>
      </c>
      <c r="N1" s="58" t="s">
        <v>98</v>
      </c>
      <c r="BC1" s="181"/>
      <c r="BD1" s="202" t="s">
        <v>296</v>
      </c>
      <c r="BE1" s="203">
        <f ca="1">TODAY()</f>
        <v>43371</v>
      </c>
      <c r="BF1" s="181"/>
      <c r="BG1" s="181"/>
      <c r="BH1" s="181"/>
      <c r="BI1" s="181"/>
      <c r="BJ1" s="181"/>
      <c r="BK1" s="181"/>
      <c r="BL1" s="181"/>
      <c r="BM1" s="181"/>
      <c r="CD1" s="2" t="s">
        <v>414</v>
      </c>
      <c r="CE1" s="2"/>
    </row>
    <row r="2" spans="1:83" ht="19.5" thickBot="1" x14ac:dyDescent="0.35">
      <c r="A2" s="233">
        <v>43374</v>
      </c>
      <c r="B2" s="287"/>
      <c r="C2" s="287"/>
      <c r="D2" s="287"/>
      <c r="E2" s="287"/>
      <c r="F2" s="287"/>
      <c r="K2" s="25" t="s">
        <v>2</v>
      </c>
      <c r="L2" s="43">
        <v>11</v>
      </c>
      <c r="BC2" s="181"/>
      <c r="BD2" s="202" t="s">
        <v>297</v>
      </c>
      <c r="BE2" s="232">
        <f ca="1">BE1-A2</f>
        <v>-3</v>
      </c>
      <c r="BF2" s="181"/>
      <c r="BG2" s="392" t="s">
        <v>416</v>
      </c>
      <c r="BH2" s="181"/>
      <c r="BI2" s="181"/>
      <c r="BJ2" s="181"/>
      <c r="BK2" s="181"/>
      <c r="BL2" s="181"/>
      <c r="BM2" s="181"/>
      <c r="CD2" s="2" t="s">
        <v>415</v>
      </c>
      <c r="CE2" s="2"/>
    </row>
    <row r="3" spans="1:83" ht="19.5" thickBot="1" x14ac:dyDescent="0.35">
      <c r="A3" s="322" t="s">
        <v>366</v>
      </c>
      <c r="B3" s="287"/>
      <c r="C3" s="287"/>
      <c r="D3" s="287"/>
      <c r="E3" s="287"/>
      <c r="F3" s="287"/>
      <c r="K3" s="25" t="s">
        <v>61</v>
      </c>
      <c r="L3" s="42">
        <v>10</v>
      </c>
      <c r="BC3" s="181"/>
      <c r="BD3" s="202" t="s">
        <v>298</v>
      </c>
      <c r="BE3" s="204">
        <f ca="1">L4-BE2</f>
        <v>34</v>
      </c>
      <c r="BF3" s="181"/>
      <c r="BG3" s="393" t="s">
        <v>415</v>
      </c>
      <c r="BH3" s="181"/>
      <c r="BI3" s="181"/>
      <c r="BJ3" s="181"/>
      <c r="BK3" s="181"/>
      <c r="BL3" s="181"/>
      <c r="BM3" s="181"/>
    </row>
    <row r="4" spans="1:83" ht="19.5" thickBot="1" x14ac:dyDescent="0.35">
      <c r="A4" s="11"/>
      <c r="B4" s="11"/>
      <c r="C4" s="11"/>
      <c r="D4" s="11"/>
      <c r="E4" s="11"/>
      <c r="F4" s="11"/>
      <c r="K4" s="25" t="s">
        <v>78</v>
      </c>
      <c r="L4" s="43">
        <v>31</v>
      </c>
      <c r="U4" s="297" t="s">
        <v>356</v>
      </c>
      <c r="BC4" s="113" t="s">
        <v>354</v>
      </c>
      <c r="BD4" s="181"/>
      <c r="BE4" s="181"/>
      <c r="BF4" s="181"/>
      <c r="BG4" s="181"/>
      <c r="BH4" s="181"/>
      <c r="BI4" s="181"/>
      <c r="BJ4" s="181"/>
      <c r="BK4" s="181"/>
      <c r="BL4" s="181"/>
      <c r="BM4" s="181"/>
    </row>
    <row r="5" spans="1:83" ht="16.5" customHeight="1" thickTop="1" thickBot="1" x14ac:dyDescent="0.3">
      <c r="A5" s="479" t="s">
        <v>319</v>
      </c>
      <c r="B5" s="482" t="s">
        <v>321</v>
      </c>
      <c r="C5" s="482"/>
      <c r="D5" s="482"/>
      <c r="E5" s="482"/>
      <c r="F5" s="425" t="s">
        <v>320</v>
      </c>
      <c r="G5" s="426"/>
      <c r="H5" s="426"/>
      <c r="I5" s="426"/>
      <c r="J5" s="426"/>
      <c r="K5" s="426"/>
      <c r="L5" s="426"/>
      <c r="M5" s="485"/>
      <c r="N5" s="438" t="s">
        <v>75</v>
      </c>
      <c r="O5" s="439"/>
      <c r="P5" s="422" t="s">
        <v>84</v>
      </c>
      <c r="Q5" s="423"/>
      <c r="R5" s="423"/>
      <c r="S5" s="424"/>
      <c r="T5" s="472" t="s">
        <v>71</v>
      </c>
      <c r="U5" s="469" t="s">
        <v>421</v>
      </c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1"/>
      <c r="AZ5" s="466" t="s">
        <v>380</v>
      </c>
      <c r="BA5" s="467"/>
      <c r="BC5" s="446" t="s">
        <v>299</v>
      </c>
      <c r="BD5" s="449" t="s">
        <v>344</v>
      </c>
      <c r="BE5" s="451"/>
      <c r="BF5" s="476" t="s">
        <v>346</v>
      </c>
      <c r="BG5" s="456"/>
      <c r="BH5" s="459" t="s">
        <v>365</v>
      </c>
      <c r="BI5" s="460" t="s">
        <v>422</v>
      </c>
      <c r="BJ5" s="462"/>
      <c r="BK5" s="468" t="str">
        <f ca="1">CONCATENATE("План пр-ва с ", BE2+1," по ", L4, "-е, кг")</f>
        <v>План пр-ва с -2 по 31-е, кг</v>
      </c>
      <c r="BL5" s="442" t="s">
        <v>348</v>
      </c>
      <c r="BM5" s="443"/>
    </row>
    <row r="6" spans="1:83" s="3" customFormat="1" ht="15" customHeight="1" thickTop="1" x14ac:dyDescent="0.25">
      <c r="A6" s="480"/>
      <c r="B6" s="456" t="s">
        <v>322</v>
      </c>
      <c r="C6" s="459" t="s">
        <v>341</v>
      </c>
      <c r="D6" s="483"/>
      <c r="E6" s="483"/>
      <c r="F6" s="484" t="s">
        <v>342</v>
      </c>
      <c r="G6" s="486" t="s">
        <v>379</v>
      </c>
      <c r="H6" s="508" t="s">
        <v>367</v>
      </c>
      <c r="I6" s="441"/>
      <c r="J6" s="434" t="s">
        <v>9</v>
      </c>
      <c r="K6" s="433" t="s">
        <v>70</v>
      </c>
      <c r="L6" s="432"/>
      <c r="M6" s="427" t="s">
        <v>73</v>
      </c>
      <c r="N6" s="436" t="s">
        <v>58</v>
      </c>
      <c r="O6" s="437" t="s">
        <v>74</v>
      </c>
      <c r="P6" s="421" t="s">
        <v>90</v>
      </c>
      <c r="Q6" s="440" t="s">
        <v>91</v>
      </c>
      <c r="R6" s="440" t="s">
        <v>92</v>
      </c>
      <c r="S6" s="420" t="s">
        <v>85</v>
      </c>
      <c r="T6" s="473"/>
      <c r="U6" s="334" t="str">
        <f ca="1">IF(U7&gt;$BE$2, "пл", "ф")</f>
        <v>пл</v>
      </c>
      <c r="V6" s="335" t="str">
        <f t="shared" ref="V6:AY6" ca="1" si="0">IF(V7&gt;$BE$2, "пл", "ф")</f>
        <v>пл</v>
      </c>
      <c r="W6" s="335" t="str">
        <f t="shared" ca="1" si="0"/>
        <v>пл</v>
      </c>
      <c r="X6" s="335" t="str">
        <f t="shared" ca="1" si="0"/>
        <v>пл</v>
      </c>
      <c r="Y6" s="335" t="str">
        <f t="shared" ca="1" si="0"/>
        <v>пл</v>
      </c>
      <c r="Z6" s="335" t="str">
        <f t="shared" ca="1" si="0"/>
        <v>пл</v>
      </c>
      <c r="AA6" s="335" t="str">
        <f t="shared" ca="1" si="0"/>
        <v>пл</v>
      </c>
      <c r="AB6" s="335" t="str">
        <f t="shared" ca="1" si="0"/>
        <v>пл</v>
      </c>
      <c r="AC6" s="335" t="str">
        <f t="shared" ca="1" si="0"/>
        <v>пл</v>
      </c>
      <c r="AD6" s="335" t="str">
        <f t="shared" ca="1" si="0"/>
        <v>пл</v>
      </c>
      <c r="AE6" s="335" t="str">
        <f t="shared" ca="1" si="0"/>
        <v>пл</v>
      </c>
      <c r="AF6" s="335" t="str">
        <f t="shared" ca="1" si="0"/>
        <v>пл</v>
      </c>
      <c r="AG6" s="335" t="str">
        <f t="shared" ca="1" si="0"/>
        <v>пл</v>
      </c>
      <c r="AH6" s="335" t="str">
        <f t="shared" ca="1" si="0"/>
        <v>пл</v>
      </c>
      <c r="AI6" s="335" t="str">
        <f t="shared" ca="1" si="0"/>
        <v>пл</v>
      </c>
      <c r="AJ6" s="335" t="str">
        <f t="shared" ca="1" si="0"/>
        <v>пл</v>
      </c>
      <c r="AK6" s="335" t="str">
        <f t="shared" ca="1" si="0"/>
        <v>пл</v>
      </c>
      <c r="AL6" s="335" t="str">
        <f t="shared" ca="1" si="0"/>
        <v>пл</v>
      </c>
      <c r="AM6" s="335" t="str">
        <f t="shared" ca="1" si="0"/>
        <v>пл</v>
      </c>
      <c r="AN6" s="335" t="str">
        <f t="shared" ca="1" si="0"/>
        <v>пл</v>
      </c>
      <c r="AO6" s="335" t="str">
        <f t="shared" ca="1" si="0"/>
        <v>пл</v>
      </c>
      <c r="AP6" s="335" t="str">
        <f t="shared" ca="1" si="0"/>
        <v>пл</v>
      </c>
      <c r="AQ6" s="335" t="str">
        <f t="shared" ca="1" si="0"/>
        <v>пл</v>
      </c>
      <c r="AR6" s="335" t="str">
        <f t="shared" ca="1" si="0"/>
        <v>пл</v>
      </c>
      <c r="AS6" s="335" t="str">
        <f t="shared" ca="1" si="0"/>
        <v>пл</v>
      </c>
      <c r="AT6" s="335" t="str">
        <f t="shared" ca="1" si="0"/>
        <v>пл</v>
      </c>
      <c r="AU6" s="335" t="str">
        <f t="shared" ca="1" si="0"/>
        <v>пл</v>
      </c>
      <c r="AV6" s="335" t="str">
        <f t="shared" ca="1" si="0"/>
        <v>пл</v>
      </c>
      <c r="AW6" s="335" t="str">
        <f t="shared" ca="1" si="0"/>
        <v>пл</v>
      </c>
      <c r="AX6" s="335" t="str">
        <f t="shared" ca="1" si="0"/>
        <v>пл</v>
      </c>
      <c r="AY6" s="336" t="str">
        <f t="shared" ca="1" si="0"/>
        <v>пл</v>
      </c>
      <c r="AZ6" s="307" t="s">
        <v>351</v>
      </c>
      <c r="BA6" s="308" t="s">
        <v>352</v>
      </c>
      <c r="BC6" s="447"/>
      <c r="BD6" s="452"/>
      <c r="BE6" s="454"/>
      <c r="BF6" s="477"/>
      <c r="BG6" s="478"/>
      <c r="BH6" s="459"/>
      <c r="BI6" s="474"/>
      <c r="BJ6" s="475"/>
      <c r="BK6" s="468"/>
      <c r="BL6" s="444"/>
      <c r="BM6" s="445"/>
    </row>
    <row r="7" spans="1:83" s="3" customFormat="1" ht="32.25" customHeight="1" x14ac:dyDescent="0.25">
      <c r="A7" s="481"/>
      <c r="B7" s="478"/>
      <c r="C7" s="345" t="s">
        <v>86</v>
      </c>
      <c r="D7" s="345" t="s">
        <v>87</v>
      </c>
      <c r="E7" s="345" t="s">
        <v>88</v>
      </c>
      <c r="F7" s="484"/>
      <c r="G7" s="486"/>
      <c r="H7" s="391" t="s">
        <v>417</v>
      </c>
      <c r="I7" s="87" t="s">
        <v>235</v>
      </c>
      <c r="J7" s="435"/>
      <c r="K7" s="81" t="s">
        <v>0</v>
      </c>
      <c r="L7" s="80" t="s">
        <v>1</v>
      </c>
      <c r="M7" s="427"/>
      <c r="N7" s="436"/>
      <c r="O7" s="437"/>
      <c r="P7" s="421"/>
      <c r="Q7" s="440"/>
      <c r="R7" s="440"/>
      <c r="S7" s="420"/>
      <c r="T7" s="473"/>
      <c r="U7" s="159">
        <v>1</v>
      </c>
      <c r="V7" s="57">
        <v>2</v>
      </c>
      <c r="W7" s="16">
        <v>3</v>
      </c>
      <c r="X7" s="190">
        <v>4</v>
      </c>
      <c r="Y7" s="182">
        <v>5</v>
      </c>
      <c r="Z7" s="190">
        <v>6</v>
      </c>
      <c r="AA7" s="182">
        <v>7</v>
      </c>
      <c r="AB7" s="57">
        <v>8</v>
      </c>
      <c r="AC7" s="182">
        <v>9</v>
      </c>
      <c r="AD7" s="16">
        <v>10</v>
      </c>
      <c r="AE7" s="16">
        <v>11</v>
      </c>
      <c r="AF7" s="16">
        <v>12</v>
      </c>
      <c r="AG7" s="16">
        <v>13</v>
      </c>
      <c r="AH7" s="16">
        <v>14</v>
      </c>
      <c r="AI7" s="57">
        <v>15</v>
      </c>
      <c r="AJ7" s="57">
        <v>16</v>
      </c>
      <c r="AK7" s="16">
        <v>17</v>
      </c>
      <c r="AL7" s="16">
        <v>18</v>
      </c>
      <c r="AM7" s="16">
        <v>19</v>
      </c>
      <c r="AN7" s="16">
        <v>20</v>
      </c>
      <c r="AO7" s="16">
        <v>21</v>
      </c>
      <c r="AP7" s="57">
        <v>22</v>
      </c>
      <c r="AQ7" s="57">
        <v>23</v>
      </c>
      <c r="AR7" s="16">
        <v>24</v>
      </c>
      <c r="AS7" s="16">
        <v>25</v>
      </c>
      <c r="AT7" s="16">
        <v>26</v>
      </c>
      <c r="AU7" s="16">
        <v>27</v>
      </c>
      <c r="AV7" s="16">
        <v>28</v>
      </c>
      <c r="AW7" s="57">
        <v>29</v>
      </c>
      <c r="AX7" s="57">
        <v>30</v>
      </c>
      <c r="AY7" s="16">
        <v>31</v>
      </c>
      <c r="AZ7" s="309" t="s">
        <v>357</v>
      </c>
      <c r="BA7" s="310" t="s">
        <v>358</v>
      </c>
      <c r="BC7" s="448"/>
      <c r="BD7" s="205" t="s">
        <v>305</v>
      </c>
      <c r="BE7" s="207" t="s">
        <v>306</v>
      </c>
      <c r="BF7" s="209" t="s">
        <v>305</v>
      </c>
      <c r="BG7" s="209" t="s">
        <v>307</v>
      </c>
      <c r="BH7" s="459"/>
      <c r="BI7" s="341" t="s">
        <v>305</v>
      </c>
      <c r="BJ7" s="342" t="s">
        <v>306</v>
      </c>
      <c r="BK7" s="468"/>
      <c r="BL7" s="407" t="s">
        <v>419</v>
      </c>
      <c r="BM7" s="405" t="s">
        <v>350</v>
      </c>
    </row>
    <row r="8" spans="1:83" s="6" customFormat="1" x14ac:dyDescent="0.25">
      <c r="A8" s="359" t="s">
        <v>280</v>
      </c>
      <c r="B8" s="358" t="s">
        <v>381</v>
      </c>
      <c r="C8" s="192"/>
      <c r="D8" s="192"/>
      <c r="E8" s="192"/>
      <c r="F8" s="357">
        <v>1.1499999999999999</v>
      </c>
      <c r="G8" s="354">
        <f t="shared" ref="G8:G24" si="1">IFERROR(ROUND(SUM(C8:E8)*F8,0),0)</f>
        <v>0</v>
      </c>
      <c r="H8" s="355"/>
      <c r="I8" s="133"/>
      <c r="J8" s="76">
        <f>IF($BG$3="да",AZ8+BA8,IF((G8-H8+I8)&lt;0,0,G8-H8+I8))</f>
        <v>0</v>
      </c>
      <c r="K8" s="34">
        <f t="shared" ref="K8:K25" si="2">IFERROR(J8/$L$3,0)</f>
        <v>0</v>
      </c>
      <c r="L8" s="5">
        <f t="shared" ref="L8:L24" si="3">IFERROR(ROUND(K8/$L$2,0),0)</f>
        <v>0</v>
      </c>
      <c r="M8" s="61"/>
      <c r="N8" s="70"/>
      <c r="O8" s="71" t="str">
        <f t="shared" ref="O8:O25" si="4">IFERROR(N8/J8,"")</f>
        <v/>
      </c>
      <c r="P8" s="68">
        <f>IF(Q8=0,0.0001,IFERROR(Q8/$L$2,0.0001))</f>
        <v>10.909090909090908</v>
      </c>
      <c r="Q8" s="66">
        <v>120</v>
      </c>
      <c r="R8" s="66">
        <f t="shared" ref="R8:R24" si="5">Q8*$M$1</f>
        <v>120</v>
      </c>
      <c r="S8" s="67">
        <f>IFERROR(T8/R8,0)</f>
        <v>0</v>
      </c>
      <c r="T8" s="26">
        <f>IF($BG$3="да", BL8, J8-SUM(U8:AY8))</f>
        <v>0</v>
      </c>
      <c r="U8" s="44"/>
      <c r="V8" s="153"/>
      <c r="W8" s="153"/>
      <c r="X8" s="153"/>
      <c r="Y8" s="153"/>
      <c r="Z8" s="153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311">
        <f t="shared" ref="AZ8:AZ9" ca="1" si="6">SUMIFS(U8:AY8,$U$6:$AY$6,"ф")</f>
        <v>0</v>
      </c>
      <c r="BA8" s="312">
        <f t="shared" ref="BA8:BA9" ca="1" si="7">SUMIFS(U8:AY8,$U$6:$AY$6,"пл")</f>
        <v>0</v>
      </c>
      <c r="BC8" s="61">
        <f>IFERROR(SUM(C8:E8)/$L$4,0)</f>
        <v>0</v>
      </c>
      <c r="BD8" s="214"/>
      <c r="BE8" s="216">
        <f ca="1">IFERROR(BD8/$BE$2,0)</f>
        <v>0</v>
      </c>
      <c r="BF8" s="343"/>
      <c r="BG8" s="215">
        <f ca="1">IFERROR(BF8/BE8,0)</f>
        <v>0</v>
      </c>
      <c r="BH8" s="61">
        <f t="shared" ref="BH8:BH24" si="8">I8</f>
        <v>0</v>
      </c>
      <c r="BI8" s="339">
        <f ca="1">IF(BE8*$BE$3*F8-BF8+BH8&lt;0,0,BE8*$BE$3*F8-BF8+BH8)</f>
        <v>0</v>
      </c>
      <c r="BJ8" s="340">
        <f t="shared" ref="BJ8:BJ24" ca="1" si="9">IFERROR(BI8/$BE$3,0)</f>
        <v>0</v>
      </c>
      <c r="BK8" s="219">
        <f t="shared" ref="BK8:BK24" ca="1" si="10">SUMIFS(U8:AY8,$U$6:$AY$6,"пл")</f>
        <v>0</v>
      </c>
      <c r="BL8" s="220">
        <f ca="1">IF(BI8&lt;0,BK8*-1, BI8-BK8)</f>
        <v>0</v>
      </c>
      <c r="BM8" s="221">
        <f ca="1">IFERROR(ROUND(BE8*($BE$3+$BE$2)-SUM(C8:E8), 1),0)</f>
        <v>0</v>
      </c>
    </row>
    <row r="9" spans="1:83" s="6" customFormat="1" x14ac:dyDescent="0.25">
      <c r="A9" s="359" t="s">
        <v>281</v>
      </c>
      <c r="B9" s="358" t="s">
        <v>382</v>
      </c>
      <c r="C9" s="192"/>
      <c r="D9" s="192"/>
      <c r="E9" s="192"/>
      <c r="F9" s="357">
        <v>1.1819999999999999</v>
      </c>
      <c r="G9" s="354">
        <f t="shared" si="1"/>
        <v>0</v>
      </c>
      <c r="H9" s="355"/>
      <c r="I9" s="133"/>
      <c r="J9" s="76">
        <f t="shared" ref="J9:J24" si="11">IF($BG$3="да",AZ9+BA9,IF((G9-H9+I9)&lt;0,0,G9-H9+I9))</f>
        <v>0</v>
      </c>
      <c r="K9" s="34">
        <f t="shared" si="2"/>
        <v>0</v>
      </c>
      <c r="L9" s="5">
        <f t="shared" si="3"/>
        <v>0</v>
      </c>
      <c r="M9" s="61"/>
      <c r="N9" s="70"/>
      <c r="O9" s="71" t="str">
        <f t="shared" si="4"/>
        <v/>
      </c>
      <c r="P9" s="68">
        <f t="shared" ref="P9:P24" si="12">IF(Q9=0,0.0001,IFERROR(Q9/$L$2,0.0001))</f>
        <v>10.909090909090908</v>
      </c>
      <c r="Q9" s="66">
        <v>120</v>
      </c>
      <c r="R9" s="66">
        <f t="shared" si="5"/>
        <v>120</v>
      </c>
      <c r="S9" s="67">
        <f t="shared" ref="S9:S24" si="13">IFERROR(T9/R9,0)</f>
        <v>0</v>
      </c>
      <c r="T9" s="26">
        <f t="shared" ref="T9:T24" si="14">IF($BG$3="да", BL9, J9-SUM(U9:AY9))</f>
        <v>0</v>
      </c>
      <c r="U9" s="44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311">
        <f t="shared" ca="1" si="6"/>
        <v>0</v>
      </c>
      <c r="BA9" s="312">
        <f t="shared" ca="1" si="7"/>
        <v>0</v>
      </c>
      <c r="BC9" s="61">
        <f t="shared" ref="BC9:BC24" si="15">IFERROR(SUM(C9:E9)/$L$4,0)</f>
        <v>0</v>
      </c>
      <c r="BD9" s="214"/>
      <c r="BE9" s="216">
        <f t="shared" ref="BE8:BE25" ca="1" si="16">IFERROR(BD9/$BE$2,0)</f>
        <v>0</v>
      </c>
      <c r="BF9" s="343"/>
      <c r="BG9" s="215">
        <f t="shared" ref="BG9:BG25" ca="1" si="17">IFERROR(BF9/BE9,0)</f>
        <v>0</v>
      </c>
      <c r="BH9" s="61">
        <f t="shared" si="8"/>
        <v>0</v>
      </c>
      <c r="BI9" s="339">
        <f t="shared" ref="BI9:BI25" ca="1" si="18">IF(BE9*$BE$3*F9-BF9+BH9&lt;0,0,BE9*$BE$3*F9-BF9+BH9)</f>
        <v>0</v>
      </c>
      <c r="BJ9" s="340">
        <f t="shared" ca="1" si="9"/>
        <v>0</v>
      </c>
      <c r="BK9" s="219">
        <f t="shared" ca="1" si="10"/>
        <v>0</v>
      </c>
      <c r="BL9" s="220">
        <f t="shared" ref="BL9:BL24" ca="1" si="19">IF(BI9&lt;0,BK9*-1, BI9-BK9)</f>
        <v>0</v>
      </c>
      <c r="BM9" s="221">
        <f t="shared" ref="BM9:BM24" ca="1" si="20">IFERROR(ROUND(BE9*($BE$3+$BE$2)-SUM(C9:E9), 1),0)</f>
        <v>0</v>
      </c>
    </row>
    <row r="10" spans="1:83" s="6" customFormat="1" x14ac:dyDescent="0.25">
      <c r="A10" s="359" t="s">
        <v>282</v>
      </c>
      <c r="B10" s="358" t="s">
        <v>383</v>
      </c>
      <c r="C10" s="192"/>
      <c r="D10" s="192"/>
      <c r="E10" s="192"/>
      <c r="F10" s="357">
        <v>1.19</v>
      </c>
      <c r="G10" s="354">
        <f t="shared" si="1"/>
        <v>0</v>
      </c>
      <c r="H10" s="355"/>
      <c r="I10" s="133"/>
      <c r="J10" s="76">
        <f t="shared" si="11"/>
        <v>0</v>
      </c>
      <c r="K10" s="34">
        <f t="shared" si="2"/>
        <v>0</v>
      </c>
      <c r="L10" s="5">
        <f t="shared" si="3"/>
        <v>0</v>
      </c>
      <c r="M10" s="61"/>
      <c r="N10" s="70"/>
      <c r="O10" s="71" t="str">
        <f t="shared" si="4"/>
        <v/>
      </c>
      <c r="P10" s="68">
        <f t="shared" si="12"/>
        <v>10.909090909090908</v>
      </c>
      <c r="Q10" s="66">
        <v>120</v>
      </c>
      <c r="R10" s="66">
        <f t="shared" si="5"/>
        <v>120</v>
      </c>
      <c r="S10" s="67">
        <f>IFERROR(T10/R10,0)</f>
        <v>0</v>
      </c>
      <c r="T10" s="26">
        <f t="shared" si="14"/>
        <v>0</v>
      </c>
      <c r="U10" s="153"/>
      <c r="V10" s="153"/>
      <c r="W10" s="153"/>
      <c r="X10" s="153"/>
      <c r="Y10" s="153"/>
      <c r="Z10" s="153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311">
        <f ca="1">SUMIFS(U10:AY10,$U$6:$AY$6,"ф")</f>
        <v>0</v>
      </c>
      <c r="BA10" s="312">
        <f ca="1">SUMIFS(U10:AY10,$U$6:$AY$6,"пл")</f>
        <v>0</v>
      </c>
      <c r="BC10" s="61">
        <f t="shared" si="15"/>
        <v>0</v>
      </c>
      <c r="BD10" s="214"/>
      <c r="BE10" s="216">
        <f t="shared" ca="1" si="16"/>
        <v>0</v>
      </c>
      <c r="BF10" s="343"/>
      <c r="BG10" s="215">
        <f t="shared" ca="1" si="17"/>
        <v>0</v>
      </c>
      <c r="BH10" s="61">
        <f t="shared" si="8"/>
        <v>0</v>
      </c>
      <c r="BI10" s="339">
        <f t="shared" ca="1" si="18"/>
        <v>0</v>
      </c>
      <c r="BJ10" s="340">
        <f t="shared" ca="1" si="9"/>
        <v>0</v>
      </c>
      <c r="BK10" s="219">
        <f t="shared" ca="1" si="10"/>
        <v>0</v>
      </c>
      <c r="BL10" s="220">
        <f t="shared" ca="1" si="19"/>
        <v>0</v>
      </c>
      <c r="BM10" s="221">
        <f t="shared" ca="1" si="20"/>
        <v>0</v>
      </c>
    </row>
    <row r="11" spans="1:83" s="6" customFormat="1" x14ac:dyDescent="0.25">
      <c r="A11" s="359" t="s">
        <v>283</v>
      </c>
      <c r="B11" s="358" t="s">
        <v>384</v>
      </c>
      <c r="C11" s="192"/>
      <c r="D11" s="192"/>
      <c r="E11" s="192"/>
      <c r="F11" s="357">
        <v>1.1299999999999999</v>
      </c>
      <c r="G11" s="354">
        <f t="shared" si="1"/>
        <v>0</v>
      </c>
      <c r="H11" s="355"/>
      <c r="I11" s="133"/>
      <c r="J11" s="76">
        <f t="shared" si="11"/>
        <v>0</v>
      </c>
      <c r="K11" s="34">
        <f t="shared" si="2"/>
        <v>0</v>
      </c>
      <c r="L11" s="5">
        <f t="shared" si="3"/>
        <v>0</v>
      </c>
      <c r="M11" s="61"/>
      <c r="N11" s="70"/>
      <c r="O11" s="71" t="str">
        <f t="shared" si="4"/>
        <v/>
      </c>
      <c r="P11" s="68">
        <f t="shared" si="12"/>
        <v>10.909090909090908</v>
      </c>
      <c r="Q11" s="66">
        <v>120</v>
      </c>
      <c r="R11" s="66">
        <f t="shared" si="5"/>
        <v>120</v>
      </c>
      <c r="S11" s="67">
        <f t="shared" si="13"/>
        <v>0</v>
      </c>
      <c r="T11" s="26">
        <f t="shared" si="14"/>
        <v>0</v>
      </c>
      <c r="U11" s="44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311">
        <f t="shared" ref="AZ11:AZ25" ca="1" si="21">SUMIFS(U11:AY11,$U$6:$AY$6,"ф")</f>
        <v>0</v>
      </c>
      <c r="BA11" s="312">
        <f t="shared" ref="BA11:BA25" ca="1" si="22">SUMIFS(U11:AY11,$U$6:$AY$6,"пл")</f>
        <v>0</v>
      </c>
      <c r="BC11" s="61">
        <f t="shared" si="15"/>
        <v>0</v>
      </c>
      <c r="BD11" s="214"/>
      <c r="BE11" s="216">
        <f t="shared" ca="1" si="16"/>
        <v>0</v>
      </c>
      <c r="BF11" s="343"/>
      <c r="BG11" s="215">
        <f t="shared" ca="1" si="17"/>
        <v>0</v>
      </c>
      <c r="BH11" s="61">
        <f t="shared" si="8"/>
        <v>0</v>
      </c>
      <c r="BI11" s="339">
        <f t="shared" ca="1" si="18"/>
        <v>0</v>
      </c>
      <c r="BJ11" s="340">
        <f t="shared" ca="1" si="9"/>
        <v>0</v>
      </c>
      <c r="BK11" s="219">
        <f t="shared" ca="1" si="10"/>
        <v>0</v>
      </c>
      <c r="BL11" s="220">
        <f t="shared" ca="1" si="19"/>
        <v>0</v>
      </c>
      <c r="BM11" s="221">
        <f t="shared" ca="1" si="20"/>
        <v>0</v>
      </c>
    </row>
    <row r="12" spans="1:83" s="6" customFormat="1" x14ac:dyDescent="0.25">
      <c r="A12" s="359" t="s">
        <v>284</v>
      </c>
      <c r="B12" s="513" t="s">
        <v>420</v>
      </c>
      <c r="C12" s="192"/>
      <c r="D12" s="192"/>
      <c r="E12" s="192"/>
      <c r="F12" s="514"/>
      <c r="G12" s="354">
        <f t="shared" si="1"/>
        <v>0</v>
      </c>
      <c r="H12" s="355"/>
      <c r="I12" s="133"/>
      <c r="J12" s="76">
        <f t="shared" si="11"/>
        <v>0</v>
      </c>
      <c r="K12" s="34">
        <f t="shared" si="2"/>
        <v>0</v>
      </c>
      <c r="L12" s="5">
        <f t="shared" si="3"/>
        <v>0</v>
      </c>
      <c r="M12" s="61"/>
      <c r="N12" s="70"/>
      <c r="O12" s="71" t="str">
        <f t="shared" si="4"/>
        <v/>
      </c>
      <c r="P12" s="68">
        <f t="shared" si="12"/>
        <v>6.3636363636363633</v>
      </c>
      <c r="Q12" s="66">
        <v>70</v>
      </c>
      <c r="R12" s="66">
        <f t="shared" si="5"/>
        <v>70</v>
      </c>
      <c r="S12" s="67">
        <f t="shared" si="13"/>
        <v>0</v>
      </c>
      <c r="T12" s="26">
        <f>IF($BG$3="да", BL12, J12-SUM(U12:AY12))</f>
        <v>0</v>
      </c>
      <c r="U12" s="44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311">
        <f t="shared" ca="1" si="21"/>
        <v>0</v>
      </c>
      <c r="BA12" s="312">
        <f t="shared" ca="1" si="22"/>
        <v>0</v>
      </c>
      <c r="BC12" s="61">
        <f t="shared" si="15"/>
        <v>0</v>
      </c>
      <c r="BD12" s="214"/>
      <c r="BE12" s="216">
        <f t="shared" ca="1" si="16"/>
        <v>0</v>
      </c>
      <c r="BF12" s="343"/>
      <c r="BG12" s="215">
        <f t="shared" ca="1" si="17"/>
        <v>0</v>
      </c>
      <c r="BH12" s="61">
        <f t="shared" si="8"/>
        <v>0</v>
      </c>
      <c r="BI12" s="339">
        <f t="shared" ca="1" si="18"/>
        <v>0</v>
      </c>
      <c r="BJ12" s="340">
        <f t="shared" ca="1" si="9"/>
        <v>0</v>
      </c>
      <c r="BK12" s="219">
        <f t="shared" ca="1" si="10"/>
        <v>0</v>
      </c>
      <c r="BL12" s="220">
        <f t="shared" ca="1" si="19"/>
        <v>0</v>
      </c>
      <c r="BM12" s="221">
        <f t="shared" ca="1" si="20"/>
        <v>0</v>
      </c>
    </row>
    <row r="13" spans="1:83" s="6" customFormat="1" x14ac:dyDescent="0.25">
      <c r="A13" s="359" t="s">
        <v>285</v>
      </c>
      <c r="B13" s="358" t="s">
        <v>385</v>
      </c>
      <c r="C13" s="192"/>
      <c r="D13" s="192"/>
      <c r="E13" s="192"/>
      <c r="F13" s="357">
        <v>1.1499999999999999</v>
      </c>
      <c r="G13" s="354">
        <f t="shared" si="1"/>
        <v>0</v>
      </c>
      <c r="H13" s="355"/>
      <c r="I13" s="133"/>
      <c r="J13" s="76">
        <f t="shared" si="11"/>
        <v>0</v>
      </c>
      <c r="K13" s="34">
        <f t="shared" si="2"/>
        <v>0</v>
      </c>
      <c r="L13" s="5">
        <f t="shared" si="3"/>
        <v>0</v>
      </c>
      <c r="M13" s="61"/>
      <c r="N13" s="70"/>
      <c r="O13" s="71" t="str">
        <f t="shared" si="4"/>
        <v/>
      </c>
      <c r="P13" s="68">
        <f t="shared" si="12"/>
        <v>10.909090909090908</v>
      </c>
      <c r="Q13" s="66">
        <v>120</v>
      </c>
      <c r="R13" s="66">
        <f t="shared" si="5"/>
        <v>120</v>
      </c>
      <c r="S13" s="67">
        <f t="shared" si="13"/>
        <v>0</v>
      </c>
      <c r="T13" s="26">
        <f t="shared" si="14"/>
        <v>0</v>
      </c>
      <c r="U13" s="44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311">
        <f t="shared" ca="1" si="21"/>
        <v>0</v>
      </c>
      <c r="BA13" s="312">
        <f t="shared" ca="1" si="22"/>
        <v>0</v>
      </c>
      <c r="BC13" s="61">
        <f t="shared" si="15"/>
        <v>0</v>
      </c>
      <c r="BD13" s="214"/>
      <c r="BE13" s="216">
        <f t="shared" ca="1" si="16"/>
        <v>0</v>
      </c>
      <c r="BF13" s="343"/>
      <c r="BG13" s="215">
        <f t="shared" ca="1" si="17"/>
        <v>0</v>
      </c>
      <c r="BH13" s="61">
        <f t="shared" si="8"/>
        <v>0</v>
      </c>
      <c r="BI13" s="339">
        <f t="shared" ca="1" si="18"/>
        <v>0</v>
      </c>
      <c r="BJ13" s="340">
        <f t="shared" ca="1" si="9"/>
        <v>0</v>
      </c>
      <c r="BK13" s="219">
        <f t="shared" ca="1" si="10"/>
        <v>0</v>
      </c>
      <c r="BL13" s="220">
        <f t="shared" ca="1" si="19"/>
        <v>0</v>
      </c>
      <c r="BM13" s="221">
        <f t="shared" ca="1" si="20"/>
        <v>0</v>
      </c>
    </row>
    <row r="14" spans="1:83" s="6" customFormat="1" x14ac:dyDescent="0.25">
      <c r="A14" s="360"/>
      <c r="B14" s="358"/>
      <c r="C14" s="192"/>
      <c r="D14" s="192"/>
      <c r="E14" s="192"/>
      <c r="F14" s="357"/>
      <c r="G14" s="354">
        <f t="shared" si="1"/>
        <v>0</v>
      </c>
      <c r="H14" s="355"/>
      <c r="I14" s="133"/>
      <c r="J14" s="76">
        <f t="shared" si="11"/>
        <v>0</v>
      </c>
      <c r="K14" s="34">
        <f t="shared" si="2"/>
        <v>0</v>
      </c>
      <c r="L14" s="5">
        <f t="shared" si="3"/>
        <v>0</v>
      </c>
      <c r="M14" s="61"/>
      <c r="N14" s="70"/>
      <c r="O14" s="71" t="str">
        <f t="shared" si="4"/>
        <v/>
      </c>
      <c r="P14" s="68">
        <f t="shared" si="12"/>
        <v>1E-4</v>
      </c>
      <c r="Q14" s="66"/>
      <c r="R14" s="66">
        <f t="shared" si="5"/>
        <v>0</v>
      </c>
      <c r="S14" s="67">
        <f t="shared" si="13"/>
        <v>0</v>
      </c>
      <c r="T14" s="26">
        <f t="shared" si="14"/>
        <v>0</v>
      </c>
      <c r="U14" s="44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311">
        <f t="shared" ca="1" si="21"/>
        <v>0</v>
      </c>
      <c r="BA14" s="312">
        <f t="shared" ca="1" si="22"/>
        <v>0</v>
      </c>
      <c r="BC14" s="61">
        <f t="shared" si="15"/>
        <v>0</v>
      </c>
      <c r="BD14" s="214"/>
      <c r="BE14" s="216">
        <f t="shared" ca="1" si="16"/>
        <v>0</v>
      </c>
      <c r="BF14" s="343"/>
      <c r="BG14" s="215">
        <f t="shared" ca="1" si="17"/>
        <v>0</v>
      </c>
      <c r="BH14" s="61">
        <f t="shared" si="8"/>
        <v>0</v>
      </c>
      <c r="BI14" s="339">
        <f t="shared" ca="1" si="18"/>
        <v>0</v>
      </c>
      <c r="BJ14" s="340">
        <f t="shared" ca="1" si="9"/>
        <v>0</v>
      </c>
      <c r="BK14" s="219">
        <f t="shared" ca="1" si="10"/>
        <v>0</v>
      </c>
      <c r="BL14" s="220">
        <f t="shared" ca="1" si="19"/>
        <v>0</v>
      </c>
      <c r="BM14" s="221">
        <f t="shared" ca="1" si="20"/>
        <v>0</v>
      </c>
    </row>
    <row r="15" spans="1:83" s="6" customFormat="1" x14ac:dyDescent="0.25">
      <c r="A15" s="361"/>
      <c r="B15" s="358"/>
      <c r="C15" s="192"/>
      <c r="D15" s="192"/>
      <c r="E15" s="192"/>
      <c r="F15" s="357"/>
      <c r="G15" s="354">
        <f t="shared" si="1"/>
        <v>0</v>
      </c>
      <c r="H15" s="355"/>
      <c r="I15" s="133"/>
      <c r="J15" s="76">
        <f t="shared" si="11"/>
        <v>0</v>
      </c>
      <c r="K15" s="34">
        <f t="shared" si="2"/>
        <v>0</v>
      </c>
      <c r="L15" s="5">
        <f t="shared" si="3"/>
        <v>0</v>
      </c>
      <c r="M15" s="61"/>
      <c r="N15" s="70"/>
      <c r="O15" s="71" t="str">
        <f t="shared" si="4"/>
        <v/>
      </c>
      <c r="P15" s="68">
        <f t="shared" si="12"/>
        <v>1E-4</v>
      </c>
      <c r="Q15" s="66"/>
      <c r="R15" s="66">
        <f t="shared" si="5"/>
        <v>0</v>
      </c>
      <c r="S15" s="67">
        <f t="shared" si="13"/>
        <v>0</v>
      </c>
      <c r="T15" s="26">
        <f t="shared" si="14"/>
        <v>0</v>
      </c>
      <c r="U15" s="44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311">
        <f t="shared" ca="1" si="21"/>
        <v>0</v>
      </c>
      <c r="BA15" s="312">
        <f t="shared" ca="1" si="22"/>
        <v>0</v>
      </c>
      <c r="BC15" s="61">
        <f t="shared" si="15"/>
        <v>0</v>
      </c>
      <c r="BD15" s="214"/>
      <c r="BE15" s="216">
        <f t="shared" ca="1" si="16"/>
        <v>0</v>
      </c>
      <c r="BF15" s="343"/>
      <c r="BG15" s="215">
        <f t="shared" ca="1" si="17"/>
        <v>0</v>
      </c>
      <c r="BH15" s="61">
        <f t="shared" si="8"/>
        <v>0</v>
      </c>
      <c r="BI15" s="339">
        <f t="shared" ca="1" si="18"/>
        <v>0</v>
      </c>
      <c r="BJ15" s="340">
        <f t="shared" ca="1" si="9"/>
        <v>0</v>
      </c>
      <c r="BK15" s="219">
        <f t="shared" ca="1" si="10"/>
        <v>0</v>
      </c>
      <c r="BL15" s="220">
        <f t="shared" ca="1" si="19"/>
        <v>0</v>
      </c>
      <c r="BM15" s="221">
        <f t="shared" ca="1" si="20"/>
        <v>0</v>
      </c>
    </row>
    <row r="16" spans="1:83" s="6" customFormat="1" x14ac:dyDescent="0.25">
      <c r="A16" s="361"/>
      <c r="B16" s="358"/>
      <c r="C16" s="192"/>
      <c r="D16" s="192"/>
      <c r="E16" s="192"/>
      <c r="F16" s="357"/>
      <c r="G16" s="354">
        <f t="shared" si="1"/>
        <v>0</v>
      </c>
      <c r="H16" s="355"/>
      <c r="I16" s="133"/>
      <c r="J16" s="76">
        <f t="shared" si="11"/>
        <v>0</v>
      </c>
      <c r="K16" s="34">
        <f t="shared" si="2"/>
        <v>0</v>
      </c>
      <c r="L16" s="5">
        <f t="shared" si="3"/>
        <v>0</v>
      </c>
      <c r="M16" s="61"/>
      <c r="N16" s="70"/>
      <c r="O16" s="71" t="str">
        <f t="shared" si="4"/>
        <v/>
      </c>
      <c r="P16" s="68">
        <f t="shared" si="12"/>
        <v>1E-4</v>
      </c>
      <c r="Q16" s="66"/>
      <c r="R16" s="66">
        <f t="shared" si="5"/>
        <v>0</v>
      </c>
      <c r="S16" s="67">
        <f t="shared" si="13"/>
        <v>0</v>
      </c>
      <c r="T16" s="26">
        <f t="shared" si="14"/>
        <v>0</v>
      </c>
      <c r="U16" s="44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311">
        <f t="shared" ca="1" si="21"/>
        <v>0</v>
      </c>
      <c r="BA16" s="312">
        <f t="shared" ca="1" si="22"/>
        <v>0</v>
      </c>
      <c r="BC16" s="61">
        <f t="shared" si="15"/>
        <v>0</v>
      </c>
      <c r="BD16" s="214"/>
      <c r="BE16" s="216">
        <f t="shared" ca="1" si="16"/>
        <v>0</v>
      </c>
      <c r="BF16" s="343"/>
      <c r="BG16" s="215">
        <f t="shared" ca="1" si="17"/>
        <v>0</v>
      </c>
      <c r="BH16" s="61">
        <f t="shared" si="8"/>
        <v>0</v>
      </c>
      <c r="BI16" s="339">
        <f t="shared" ca="1" si="18"/>
        <v>0</v>
      </c>
      <c r="BJ16" s="340">
        <f t="shared" ca="1" si="9"/>
        <v>0</v>
      </c>
      <c r="BK16" s="219">
        <f t="shared" ca="1" si="10"/>
        <v>0</v>
      </c>
      <c r="BL16" s="220">
        <f t="shared" ca="1" si="19"/>
        <v>0</v>
      </c>
      <c r="BM16" s="221">
        <f t="shared" ca="1" si="20"/>
        <v>0</v>
      </c>
    </row>
    <row r="17" spans="1:65" s="6" customFormat="1" x14ac:dyDescent="0.25">
      <c r="A17" s="361"/>
      <c r="B17" s="358"/>
      <c r="C17" s="192"/>
      <c r="D17" s="192"/>
      <c r="E17" s="192"/>
      <c r="F17" s="357"/>
      <c r="G17" s="354">
        <f t="shared" si="1"/>
        <v>0</v>
      </c>
      <c r="H17" s="355"/>
      <c r="I17" s="133"/>
      <c r="J17" s="76">
        <f t="shared" si="11"/>
        <v>0</v>
      </c>
      <c r="K17" s="34">
        <f t="shared" si="2"/>
        <v>0</v>
      </c>
      <c r="L17" s="5">
        <f t="shared" si="3"/>
        <v>0</v>
      </c>
      <c r="M17" s="61"/>
      <c r="N17" s="70"/>
      <c r="O17" s="71" t="str">
        <f t="shared" si="4"/>
        <v/>
      </c>
      <c r="P17" s="68">
        <f t="shared" si="12"/>
        <v>1E-4</v>
      </c>
      <c r="Q17" s="66"/>
      <c r="R17" s="66">
        <f t="shared" si="5"/>
        <v>0</v>
      </c>
      <c r="S17" s="67">
        <f t="shared" si="13"/>
        <v>0</v>
      </c>
      <c r="T17" s="26">
        <f t="shared" si="14"/>
        <v>0</v>
      </c>
      <c r="U17" s="44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311">
        <f t="shared" ca="1" si="21"/>
        <v>0</v>
      </c>
      <c r="BA17" s="312">
        <f ca="1">SUMIFS(U17:AY17,$U$6:$AY$6,"пл")</f>
        <v>0</v>
      </c>
      <c r="BC17" s="61">
        <f t="shared" si="15"/>
        <v>0</v>
      </c>
      <c r="BD17" s="214"/>
      <c r="BE17" s="216">
        <f t="shared" ca="1" si="16"/>
        <v>0</v>
      </c>
      <c r="BF17" s="343"/>
      <c r="BG17" s="215">
        <f t="shared" ca="1" si="17"/>
        <v>0</v>
      </c>
      <c r="BH17" s="61">
        <f t="shared" si="8"/>
        <v>0</v>
      </c>
      <c r="BI17" s="339">
        <f t="shared" ca="1" si="18"/>
        <v>0</v>
      </c>
      <c r="BJ17" s="340">
        <f t="shared" ca="1" si="9"/>
        <v>0</v>
      </c>
      <c r="BK17" s="219">
        <f t="shared" ca="1" si="10"/>
        <v>0</v>
      </c>
      <c r="BL17" s="220">
        <f t="shared" ca="1" si="19"/>
        <v>0</v>
      </c>
      <c r="BM17" s="221">
        <f t="shared" ca="1" si="20"/>
        <v>0</v>
      </c>
    </row>
    <row r="18" spans="1:65" s="6" customFormat="1" x14ac:dyDescent="0.25">
      <c r="A18" s="361"/>
      <c r="B18" s="358"/>
      <c r="C18" s="192"/>
      <c r="D18" s="192"/>
      <c r="E18" s="192"/>
      <c r="F18" s="357"/>
      <c r="G18" s="354">
        <f t="shared" si="1"/>
        <v>0</v>
      </c>
      <c r="H18" s="355"/>
      <c r="I18" s="133"/>
      <c r="J18" s="76">
        <f t="shared" si="11"/>
        <v>0</v>
      </c>
      <c r="K18" s="34">
        <f t="shared" si="2"/>
        <v>0</v>
      </c>
      <c r="L18" s="5">
        <f t="shared" si="3"/>
        <v>0</v>
      </c>
      <c r="M18" s="61"/>
      <c r="N18" s="70"/>
      <c r="O18" s="71" t="str">
        <f t="shared" si="4"/>
        <v/>
      </c>
      <c r="P18" s="68">
        <f t="shared" si="12"/>
        <v>1E-4</v>
      </c>
      <c r="Q18" s="66"/>
      <c r="R18" s="66">
        <f t="shared" si="5"/>
        <v>0</v>
      </c>
      <c r="S18" s="67">
        <f t="shared" si="13"/>
        <v>0</v>
      </c>
      <c r="T18" s="26">
        <f t="shared" si="14"/>
        <v>0</v>
      </c>
      <c r="U18" s="44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311">
        <f t="shared" ca="1" si="21"/>
        <v>0</v>
      </c>
      <c r="BA18" s="312">
        <f t="shared" ca="1" si="22"/>
        <v>0</v>
      </c>
      <c r="BC18" s="61">
        <f t="shared" si="15"/>
        <v>0</v>
      </c>
      <c r="BD18" s="214"/>
      <c r="BE18" s="216">
        <f t="shared" ca="1" si="16"/>
        <v>0</v>
      </c>
      <c r="BF18" s="343"/>
      <c r="BG18" s="215">
        <f t="shared" ca="1" si="17"/>
        <v>0</v>
      </c>
      <c r="BH18" s="61">
        <f t="shared" si="8"/>
        <v>0</v>
      </c>
      <c r="BI18" s="339">
        <f t="shared" ca="1" si="18"/>
        <v>0</v>
      </c>
      <c r="BJ18" s="340">
        <f t="shared" ca="1" si="9"/>
        <v>0</v>
      </c>
      <c r="BK18" s="219">
        <f t="shared" ca="1" si="10"/>
        <v>0</v>
      </c>
      <c r="BL18" s="220">
        <f t="shared" ca="1" si="19"/>
        <v>0</v>
      </c>
      <c r="BM18" s="221">
        <f t="shared" ca="1" si="20"/>
        <v>0</v>
      </c>
    </row>
    <row r="19" spans="1:65" s="6" customFormat="1" x14ac:dyDescent="0.25">
      <c r="A19" s="362"/>
      <c r="B19" s="358"/>
      <c r="C19" s="193"/>
      <c r="D19" s="193"/>
      <c r="E19" s="288"/>
      <c r="F19" s="357"/>
      <c r="G19" s="354">
        <f t="shared" si="1"/>
        <v>0</v>
      </c>
      <c r="H19" s="355"/>
      <c r="I19" s="133"/>
      <c r="J19" s="76">
        <f t="shared" si="11"/>
        <v>0</v>
      </c>
      <c r="K19" s="35">
        <f t="shared" si="2"/>
        <v>0</v>
      </c>
      <c r="L19" s="7">
        <f t="shared" si="3"/>
        <v>0</v>
      </c>
      <c r="M19" s="62"/>
      <c r="N19" s="70"/>
      <c r="O19" s="71" t="str">
        <f t="shared" si="4"/>
        <v/>
      </c>
      <c r="P19" s="68">
        <f t="shared" si="12"/>
        <v>1E-4</v>
      </c>
      <c r="Q19" s="66"/>
      <c r="R19" s="66">
        <f t="shared" si="5"/>
        <v>0</v>
      </c>
      <c r="S19" s="67">
        <f t="shared" si="13"/>
        <v>0</v>
      </c>
      <c r="T19" s="26">
        <f t="shared" si="14"/>
        <v>0</v>
      </c>
      <c r="U19" s="44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311">
        <f t="shared" ca="1" si="21"/>
        <v>0</v>
      </c>
      <c r="BA19" s="312">
        <f t="shared" ca="1" si="22"/>
        <v>0</v>
      </c>
      <c r="BC19" s="61">
        <f t="shared" si="15"/>
        <v>0</v>
      </c>
      <c r="BD19" s="214"/>
      <c r="BE19" s="216">
        <f t="shared" ca="1" si="16"/>
        <v>0</v>
      </c>
      <c r="BF19" s="343"/>
      <c r="BG19" s="215">
        <f t="shared" ca="1" si="17"/>
        <v>0</v>
      </c>
      <c r="BH19" s="61">
        <f t="shared" si="8"/>
        <v>0</v>
      </c>
      <c r="BI19" s="339">
        <f t="shared" ca="1" si="18"/>
        <v>0</v>
      </c>
      <c r="BJ19" s="340">
        <f t="shared" ca="1" si="9"/>
        <v>0</v>
      </c>
      <c r="BK19" s="219">
        <f t="shared" ca="1" si="10"/>
        <v>0</v>
      </c>
      <c r="BL19" s="220">
        <f t="shared" ca="1" si="19"/>
        <v>0</v>
      </c>
      <c r="BM19" s="221">
        <f t="shared" ca="1" si="20"/>
        <v>0</v>
      </c>
    </row>
    <row r="20" spans="1:65" s="6" customFormat="1" x14ac:dyDescent="0.25">
      <c r="A20" s="363"/>
      <c r="B20" s="358"/>
      <c r="C20" s="192"/>
      <c r="D20" s="192"/>
      <c r="E20" s="192"/>
      <c r="F20" s="357"/>
      <c r="G20" s="354">
        <f t="shared" si="1"/>
        <v>0</v>
      </c>
      <c r="H20" s="355"/>
      <c r="I20" s="133"/>
      <c r="J20" s="76">
        <f t="shared" si="11"/>
        <v>0</v>
      </c>
      <c r="K20" s="34">
        <f t="shared" si="2"/>
        <v>0</v>
      </c>
      <c r="L20" s="5">
        <f t="shared" si="3"/>
        <v>0</v>
      </c>
      <c r="M20" s="61"/>
      <c r="N20" s="70"/>
      <c r="O20" s="71" t="str">
        <f t="shared" si="4"/>
        <v/>
      </c>
      <c r="P20" s="68">
        <f t="shared" si="12"/>
        <v>1E-4</v>
      </c>
      <c r="Q20" s="66"/>
      <c r="R20" s="66">
        <f t="shared" si="5"/>
        <v>0</v>
      </c>
      <c r="S20" s="67">
        <f t="shared" si="13"/>
        <v>0</v>
      </c>
      <c r="T20" s="26">
        <f t="shared" si="14"/>
        <v>0</v>
      </c>
      <c r="U20" s="44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311">
        <f t="shared" ca="1" si="21"/>
        <v>0</v>
      </c>
      <c r="BA20" s="312">
        <f t="shared" ca="1" si="22"/>
        <v>0</v>
      </c>
      <c r="BC20" s="61">
        <f t="shared" si="15"/>
        <v>0</v>
      </c>
      <c r="BD20" s="214"/>
      <c r="BE20" s="216">
        <f t="shared" ca="1" si="16"/>
        <v>0</v>
      </c>
      <c r="BF20" s="343"/>
      <c r="BG20" s="215">
        <f t="shared" ca="1" si="17"/>
        <v>0</v>
      </c>
      <c r="BH20" s="61">
        <f t="shared" si="8"/>
        <v>0</v>
      </c>
      <c r="BI20" s="339">
        <f t="shared" ca="1" si="18"/>
        <v>0</v>
      </c>
      <c r="BJ20" s="340">
        <f t="shared" ca="1" si="9"/>
        <v>0</v>
      </c>
      <c r="BK20" s="219">
        <f t="shared" ca="1" si="10"/>
        <v>0</v>
      </c>
      <c r="BL20" s="220">
        <f t="shared" ca="1" si="19"/>
        <v>0</v>
      </c>
      <c r="BM20" s="221">
        <f t="shared" ca="1" si="20"/>
        <v>0</v>
      </c>
    </row>
    <row r="21" spans="1:65" s="6" customFormat="1" x14ac:dyDescent="0.25">
      <c r="A21" s="363"/>
      <c r="B21" s="358"/>
      <c r="C21" s="192"/>
      <c r="D21" s="192"/>
      <c r="E21" s="192"/>
      <c r="F21" s="357"/>
      <c r="G21" s="354">
        <f t="shared" si="1"/>
        <v>0</v>
      </c>
      <c r="H21" s="355"/>
      <c r="I21" s="133"/>
      <c r="J21" s="76">
        <f t="shared" si="11"/>
        <v>0</v>
      </c>
      <c r="K21" s="34">
        <f t="shared" si="2"/>
        <v>0</v>
      </c>
      <c r="L21" s="5">
        <f t="shared" si="3"/>
        <v>0</v>
      </c>
      <c r="M21" s="61"/>
      <c r="N21" s="70"/>
      <c r="O21" s="71" t="str">
        <f t="shared" si="4"/>
        <v/>
      </c>
      <c r="P21" s="68">
        <f t="shared" si="12"/>
        <v>1E-4</v>
      </c>
      <c r="Q21" s="66"/>
      <c r="R21" s="66">
        <f t="shared" si="5"/>
        <v>0</v>
      </c>
      <c r="S21" s="67">
        <f t="shared" si="13"/>
        <v>0</v>
      </c>
      <c r="T21" s="26">
        <f t="shared" si="14"/>
        <v>0</v>
      </c>
      <c r="U21" s="44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311">
        <f t="shared" ca="1" si="21"/>
        <v>0</v>
      </c>
      <c r="BA21" s="312">
        <f t="shared" ca="1" si="22"/>
        <v>0</v>
      </c>
      <c r="BC21" s="61">
        <f t="shared" si="15"/>
        <v>0</v>
      </c>
      <c r="BD21" s="214"/>
      <c r="BE21" s="216">
        <f t="shared" ca="1" si="16"/>
        <v>0</v>
      </c>
      <c r="BF21" s="343"/>
      <c r="BG21" s="215">
        <f t="shared" ca="1" si="17"/>
        <v>0</v>
      </c>
      <c r="BH21" s="61">
        <f t="shared" si="8"/>
        <v>0</v>
      </c>
      <c r="BI21" s="339">
        <f t="shared" ca="1" si="18"/>
        <v>0</v>
      </c>
      <c r="BJ21" s="340">
        <f t="shared" ca="1" si="9"/>
        <v>0</v>
      </c>
      <c r="BK21" s="219">
        <f t="shared" ca="1" si="10"/>
        <v>0</v>
      </c>
      <c r="BL21" s="220">
        <f t="shared" ca="1" si="19"/>
        <v>0</v>
      </c>
      <c r="BM21" s="221">
        <f t="shared" ca="1" si="20"/>
        <v>0</v>
      </c>
    </row>
    <row r="22" spans="1:65" s="6" customFormat="1" x14ac:dyDescent="0.25">
      <c r="A22" s="363"/>
      <c r="B22" s="358"/>
      <c r="C22" s="192"/>
      <c r="D22" s="192"/>
      <c r="E22" s="192"/>
      <c r="F22" s="357"/>
      <c r="G22" s="354">
        <f t="shared" si="1"/>
        <v>0</v>
      </c>
      <c r="H22" s="355"/>
      <c r="I22" s="133"/>
      <c r="J22" s="76">
        <f t="shared" si="11"/>
        <v>0</v>
      </c>
      <c r="K22" s="34">
        <f t="shared" si="2"/>
        <v>0</v>
      </c>
      <c r="L22" s="5">
        <f t="shared" si="3"/>
        <v>0</v>
      </c>
      <c r="M22" s="61"/>
      <c r="N22" s="70"/>
      <c r="O22" s="71" t="str">
        <f t="shared" si="4"/>
        <v/>
      </c>
      <c r="P22" s="68">
        <f t="shared" si="12"/>
        <v>1E-4</v>
      </c>
      <c r="Q22" s="66"/>
      <c r="R22" s="66">
        <f t="shared" si="5"/>
        <v>0</v>
      </c>
      <c r="S22" s="67">
        <f t="shared" si="13"/>
        <v>0</v>
      </c>
      <c r="T22" s="26">
        <f t="shared" si="14"/>
        <v>0</v>
      </c>
      <c r="U22" s="44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311">
        <f t="shared" ca="1" si="21"/>
        <v>0</v>
      </c>
      <c r="BA22" s="312">
        <f t="shared" ca="1" si="22"/>
        <v>0</v>
      </c>
      <c r="BC22" s="61">
        <f t="shared" si="15"/>
        <v>0</v>
      </c>
      <c r="BD22" s="214"/>
      <c r="BE22" s="216">
        <f t="shared" ca="1" si="16"/>
        <v>0</v>
      </c>
      <c r="BF22" s="343"/>
      <c r="BG22" s="215">
        <f t="shared" ca="1" si="17"/>
        <v>0</v>
      </c>
      <c r="BH22" s="61">
        <f t="shared" si="8"/>
        <v>0</v>
      </c>
      <c r="BI22" s="339">
        <f t="shared" ca="1" si="18"/>
        <v>0</v>
      </c>
      <c r="BJ22" s="340">
        <f t="shared" ca="1" si="9"/>
        <v>0</v>
      </c>
      <c r="BK22" s="219">
        <f t="shared" ca="1" si="10"/>
        <v>0</v>
      </c>
      <c r="BL22" s="220">
        <f t="shared" ca="1" si="19"/>
        <v>0</v>
      </c>
      <c r="BM22" s="221">
        <f t="shared" ca="1" si="20"/>
        <v>0</v>
      </c>
    </row>
    <row r="23" spans="1:65" s="6" customFormat="1" x14ac:dyDescent="0.25">
      <c r="A23" s="363"/>
      <c r="B23" s="358"/>
      <c r="C23" s="192"/>
      <c r="D23" s="192"/>
      <c r="E23" s="192"/>
      <c r="F23" s="357"/>
      <c r="G23" s="354">
        <f t="shared" si="1"/>
        <v>0</v>
      </c>
      <c r="H23" s="355"/>
      <c r="I23" s="133"/>
      <c r="J23" s="76">
        <f t="shared" si="11"/>
        <v>0</v>
      </c>
      <c r="K23" s="34">
        <f t="shared" si="2"/>
        <v>0</v>
      </c>
      <c r="L23" s="5">
        <f t="shared" si="3"/>
        <v>0</v>
      </c>
      <c r="M23" s="61"/>
      <c r="N23" s="70"/>
      <c r="O23" s="71" t="str">
        <f t="shared" si="4"/>
        <v/>
      </c>
      <c r="P23" s="68">
        <f t="shared" si="12"/>
        <v>1E-4</v>
      </c>
      <c r="Q23" s="66"/>
      <c r="R23" s="66">
        <f t="shared" si="5"/>
        <v>0</v>
      </c>
      <c r="S23" s="67">
        <f t="shared" si="13"/>
        <v>0</v>
      </c>
      <c r="T23" s="26">
        <f t="shared" si="14"/>
        <v>0</v>
      </c>
      <c r="U23" s="44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311">
        <f t="shared" ca="1" si="21"/>
        <v>0</v>
      </c>
      <c r="BA23" s="312">
        <f t="shared" ca="1" si="22"/>
        <v>0</v>
      </c>
      <c r="BC23" s="61">
        <f t="shared" si="15"/>
        <v>0</v>
      </c>
      <c r="BD23" s="214"/>
      <c r="BE23" s="216">
        <f t="shared" ca="1" si="16"/>
        <v>0</v>
      </c>
      <c r="BF23" s="343"/>
      <c r="BG23" s="215">
        <f t="shared" ca="1" si="17"/>
        <v>0</v>
      </c>
      <c r="BH23" s="61">
        <f t="shared" si="8"/>
        <v>0</v>
      </c>
      <c r="BI23" s="339">
        <f t="shared" ca="1" si="18"/>
        <v>0</v>
      </c>
      <c r="BJ23" s="340">
        <f t="shared" ca="1" si="9"/>
        <v>0</v>
      </c>
      <c r="BK23" s="219">
        <f t="shared" ca="1" si="10"/>
        <v>0</v>
      </c>
      <c r="BL23" s="220">
        <f t="shared" ca="1" si="19"/>
        <v>0</v>
      </c>
      <c r="BM23" s="221">
        <f t="shared" ca="1" si="20"/>
        <v>0</v>
      </c>
    </row>
    <row r="24" spans="1:65" s="6" customFormat="1" ht="15.75" thickBot="1" x14ac:dyDescent="0.3">
      <c r="A24" s="364"/>
      <c r="B24" s="358"/>
      <c r="C24" s="192"/>
      <c r="D24" s="192"/>
      <c r="E24" s="192"/>
      <c r="F24" s="357"/>
      <c r="G24" s="354">
        <f t="shared" si="1"/>
        <v>0</v>
      </c>
      <c r="H24" s="356"/>
      <c r="I24" s="134"/>
      <c r="J24" s="76">
        <f t="shared" si="11"/>
        <v>0</v>
      </c>
      <c r="K24" s="36">
        <f t="shared" si="2"/>
        <v>0</v>
      </c>
      <c r="L24" s="13">
        <f t="shared" si="3"/>
        <v>0</v>
      </c>
      <c r="M24" s="63"/>
      <c r="N24" s="72"/>
      <c r="O24" s="73" t="str">
        <f t="shared" si="4"/>
        <v/>
      </c>
      <c r="P24" s="68">
        <f t="shared" si="12"/>
        <v>1E-4</v>
      </c>
      <c r="Q24" s="66"/>
      <c r="R24" s="66">
        <f t="shared" si="5"/>
        <v>0</v>
      </c>
      <c r="S24" s="67">
        <f t="shared" si="13"/>
        <v>0</v>
      </c>
      <c r="T24" s="26">
        <f t="shared" si="14"/>
        <v>0</v>
      </c>
      <c r="U24" s="46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311">
        <f t="shared" ca="1" si="21"/>
        <v>0</v>
      </c>
      <c r="BA24" s="312">
        <f t="shared" ca="1" si="22"/>
        <v>0</v>
      </c>
      <c r="BC24" s="61">
        <f t="shared" si="15"/>
        <v>0</v>
      </c>
      <c r="BD24" s="214"/>
      <c r="BE24" s="216">
        <f t="shared" ca="1" si="16"/>
        <v>0</v>
      </c>
      <c r="BF24" s="343"/>
      <c r="BG24" s="215">
        <f t="shared" ca="1" si="17"/>
        <v>0</v>
      </c>
      <c r="BH24" s="61">
        <f t="shared" si="8"/>
        <v>0</v>
      </c>
      <c r="BI24" s="339">
        <f t="shared" ca="1" si="18"/>
        <v>0</v>
      </c>
      <c r="BJ24" s="340">
        <f t="shared" ca="1" si="9"/>
        <v>0</v>
      </c>
      <c r="BK24" s="219">
        <f t="shared" ca="1" si="10"/>
        <v>0</v>
      </c>
      <c r="BL24" s="220">
        <f t="shared" ca="1" si="19"/>
        <v>0</v>
      </c>
      <c r="BM24" s="221">
        <f t="shared" ca="1" si="20"/>
        <v>0</v>
      </c>
    </row>
    <row r="25" spans="1:65" s="1" customFormat="1" ht="15.75" thickBot="1" x14ac:dyDescent="0.3">
      <c r="A25" s="28" t="s">
        <v>3</v>
      </c>
      <c r="B25" s="37"/>
      <c r="C25" s="37"/>
      <c r="D25" s="37"/>
      <c r="E25" s="37"/>
      <c r="F25" s="37"/>
      <c r="G25" s="33"/>
      <c r="H25" s="37"/>
      <c r="I25" s="135"/>
      <c r="J25" s="77">
        <f>SUM(J8:J24)</f>
        <v>0</v>
      </c>
      <c r="K25" s="37">
        <f t="shared" si="2"/>
        <v>0</v>
      </c>
      <c r="L25" s="32">
        <f>IFERROR(ROUND(K25/$L$2,0),0)</f>
        <v>0</v>
      </c>
      <c r="M25" s="33">
        <f>IFERROR(ROUND(L25/L1,0),0)</f>
        <v>0</v>
      </c>
      <c r="N25" s="74">
        <f>SUM(N8:N24)</f>
        <v>0</v>
      </c>
      <c r="O25" s="75" t="str">
        <f t="shared" si="4"/>
        <v/>
      </c>
      <c r="P25" s="69"/>
      <c r="Q25" s="64"/>
      <c r="R25" s="64"/>
      <c r="S25" s="65"/>
      <c r="T25" s="22" t="s">
        <v>72</v>
      </c>
      <c r="U25" s="27">
        <f t="shared" ref="U25:AY25" si="23">SUM(U8:U24)</f>
        <v>0</v>
      </c>
      <c r="V25" s="23">
        <f t="shared" si="23"/>
        <v>0</v>
      </c>
      <c r="W25" s="23">
        <f t="shared" si="23"/>
        <v>0</v>
      </c>
      <c r="X25" s="23">
        <f t="shared" si="23"/>
        <v>0</v>
      </c>
      <c r="Y25" s="23">
        <f t="shared" si="23"/>
        <v>0</v>
      </c>
      <c r="Z25" s="23">
        <f t="shared" si="23"/>
        <v>0</v>
      </c>
      <c r="AA25" s="23">
        <f t="shared" si="23"/>
        <v>0</v>
      </c>
      <c r="AB25" s="23">
        <f t="shared" si="23"/>
        <v>0</v>
      </c>
      <c r="AC25" s="23">
        <f t="shared" si="23"/>
        <v>0</v>
      </c>
      <c r="AD25" s="23">
        <f t="shared" si="23"/>
        <v>0</v>
      </c>
      <c r="AE25" s="23">
        <f t="shared" si="23"/>
        <v>0</v>
      </c>
      <c r="AF25" s="23">
        <f t="shared" si="23"/>
        <v>0</v>
      </c>
      <c r="AG25" s="23">
        <f t="shared" si="23"/>
        <v>0</v>
      </c>
      <c r="AH25" s="23">
        <f t="shared" si="23"/>
        <v>0</v>
      </c>
      <c r="AI25" s="23">
        <f t="shared" si="23"/>
        <v>0</v>
      </c>
      <c r="AJ25" s="23">
        <f t="shared" si="23"/>
        <v>0</v>
      </c>
      <c r="AK25" s="23">
        <f t="shared" si="23"/>
        <v>0</v>
      </c>
      <c r="AL25" s="23">
        <f t="shared" si="23"/>
        <v>0</v>
      </c>
      <c r="AM25" s="23">
        <f t="shared" si="23"/>
        <v>0</v>
      </c>
      <c r="AN25" s="23">
        <f t="shared" si="23"/>
        <v>0</v>
      </c>
      <c r="AO25" s="23">
        <f t="shared" si="23"/>
        <v>0</v>
      </c>
      <c r="AP25" s="23">
        <f t="shared" si="23"/>
        <v>0</v>
      </c>
      <c r="AQ25" s="23">
        <f t="shared" si="23"/>
        <v>0</v>
      </c>
      <c r="AR25" s="23">
        <f t="shared" si="23"/>
        <v>0</v>
      </c>
      <c r="AS25" s="23">
        <f t="shared" si="23"/>
        <v>0</v>
      </c>
      <c r="AT25" s="23">
        <f t="shared" si="23"/>
        <v>0</v>
      </c>
      <c r="AU25" s="23">
        <f t="shared" si="23"/>
        <v>0</v>
      </c>
      <c r="AV25" s="23">
        <f t="shared" si="23"/>
        <v>0</v>
      </c>
      <c r="AW25" s="23">
        <f t="shared" si="23"/>
        <v>0</v>
      </c>
      <c r="AX25" s="23">
        <f t="shared" si="23"/>
        <v>0</v>
      </c>
      <c r="AY25" s="24">
        <f t="shared" si="23"/>
        <v>0</v>
      </c>
      <c r="AZ25" s="324">
        <f t="shared" ca="1" si="21"/>
        <v>0</v>
      </c>
      <c r="BA25" s="329">
        <f t="shared" ca="1" si="22"/>
        <v>0</v>
      </c>
      <c r="BC25" s="222"/>
      <c r="BD25" s="223"/>
      <c r="BE25" s="225">
        <f t="shared" ca="1" si="16"/>
        <v>0</v>
      </c>
      <c r="BF25" s="344"/>
      <c r="BG25" s="215">
        <f t="shared" ca="1" si="17"/>
        <v>0</v>
      </c>
      <c r="BH25" s="222"/>
      <c r="BI25" s="337">
        <f t="shared" ca="1" si="18"/>
        <v>0</v>
      </c>
      <c r="BJ25" s="338"/>
      <c r="BK25" s="228"/>
      <c r="BL25" s="229"/>
      <c r="BM25" s="230"/>
    </row>
    <row r="26" spans="1:65" s="31" customFormat="1" x14ac:dyDescent="0.25">
      <c r="A26" s="417" t="s">
        <v>89</v>
      </c>
      <c r="B26" s="418"/>
      <c r="C26" s="418"/>
      <c r="D26" s="418"/>
      <c r="E26" s="418"/>
      <c r="F26" s="418"/>
      <c r="G26" s="418"/>
      <c r="H26" s="132"/>
      <c r="I26" s="132"/>
      <c r="J26" s="78">
        <f>K26*L3</f>
        <v>2273.3333333333335</v>
      </c>
      <c r="K26" s="78">
        <f>L26*L2</f>
        <v>227.33333333333334</v>
      </c>
      <c r="L26" s="78">
        <f>M26*L1</f>
        <v>20.666666666666668</v>
      </c>
      <c r="M26" s="79">
        <f>L4/6*4</f>
        <v>20.666666666666668</v>
      </c>
      <c r="N26" s="1"/>
      <c r="O26" s="1"/>
      <c r="P26" s="1"/>
      <c r="Q26" s="1"/>
      <c r="R26" s="1"/>
      <c r="S26" s="1"/>
      <c r="T26" s="89" t="s">
        <v>97</v>
      </c>
      <c r="U26" s="90">
        <f>U31-U29</f>
        <v>1</v>
      </c>
      <c r="V26" s="90">
        <f t="shared" ref="V26:AY26" si="24">V31-V29</f>
        <v>1</v>
      </c>
      <c r="W26" s="90">
        <f t="shared" si="24"/>
        <v>1</v>
      </c>
      <c r="X26" s="90">
        <f t="shared" si="24"/>
        <v>1</v>
      </c>
      <c r="Y26" s="90">
        <f t="shared" si="24"/>
        <v>1</v>
      </c>
      <c r="Z26" s="90">
        <f t="shared" si="24"/>
        <v>1</v>
      </c>
      <c r="AA26" s="90">
        <f t="shared" si="24"/>
        <v>1</v>
      </c>
      <c r="AB26" s="90">
        <f t="shared" si="24"/>
        <v>1</v>
      </c>
      <c r="AC26" s="90">
        <f t="shared" si="24"/>
        <v>1</v>
      </c>
      <c r="AD26" s="90">
        <f t="shared" si="24"/>
        <v>0</v>
      </c>
      <c r="AE26" s="90">
        <f t="shared" si="24"/>
        <v>1</v>
      </c>
      <c r="AF26" s="90">
        <f t="shared" si="24"/>
        <v>1</v>
      </c>
      <c r="AG26" s="90">
        <f t="shared" si="24"/>
        <v>1</v>
      </c>
      <c r="AH26" s="90">
        <f t="shared" si="24"/>
        <v>1</v>
      </c>
      <c r="AI26" s="90">
        <f t="shared" si="24"/>
        <v>1</v>
      </c>
      <c r="AJ26" s="90">
        <f t="shared" si="24"/>
        <v>1</v>
      </c>
      <c r="AK26" s="90">
        <f t="shared" si="24"/>
        <v>1</v>
      </c>
      <c r="AL26" s="90">
        <f t="shared" si="24"/>
        <v>0</v>
      </c>
      <c r="AM26" s="90">
        <f t="shared" si="24"/>
        <v>1</v>
      </c>
      <c r="AN26" s="90">
        <f t="shared" si="24"/>
        <v>1</v>
      </c>
      <c r="AO26" s="90">
        <f t="shared" si="24"/>
        <v>1</v>
      </c>
      <c r="AP26" s="90">
        <f t="shared" si="24"/>
        <v>1</v>
      </c>
      <c r="AQ26" s="90">
        <f t="shared" si="24"/>
        <v>1</v>
      </c>
      <c r="AR26" s="90">
        <f t="shared" si="24"/>
        <v>1</v>
      </c>
      <c r="AS26" s="90">
        <f t="shared" si="24"/>
        <v>0</v>
      </c>
      <c r="AT26" s="90">
        <f t="shared" si="24"/>
        <v>1</v>
      </c>
      <c r="AU26" s="90">
        <f t="shared" si="24"/>
        <v>1</v>
      </c>
      <c r="AV26" s="90">
        <f t="shared" si="24"/>
        <v>1</v>
      </c>
      <c r="AW26" s="90">
        <f t="shared" si="24"/>
        <v>1</v>
      </c>
      <c r="AX26" s="90">
        <f t="shared" si="24"/>
        <v>0</v>
      </c>
      <c r="AY26" s="90">
        <f t="shared" si="24"/>
        <v>0</v>
      </c>
      <c r="AZ26" s="90">
        <f>SUM(U26:AY26)</f>
        <v>26</v>
      </c>
      <c r="BA26" s="333"/>
    </row>
    <row r="27" spans="1:65" s="1" customFormat="1" ht="15.75" thickBot="1" x14ac:dyDescent="0.3">
      <c r="B27" s="331"/>
      <c r="C27" s="331"/>
      <c r="D27" s="331"/>
      <c r="E27" s="331"/>
      <c r="F27" s="331"/>
      <c r="H27" s="1" t="s">
        <v>253</v>
      </c>
      <c r="L27" s="147">
        <f>IFERROR(L25/M1,0)</f>
        <v>0</v>
      </c>
      <c r="M27" s="59"/>
      <c r="BA27" s="331"/>
    </row>
    <row r="28" spans="1:65" s="2" customFormat="1" ht="16.5" thickTop="1" thickBot="1" x14ac:dyDescent="0.3">
      <c r="T28" s="17" t="s">
        <v>67</v>
      </c>
      <c r="U28" s="92">
        <f t="shared" ref="U28:AY28" si="25">SUMPRODUCT(U8:U24/$P$8:$P$24)</f>
        <v>0</v>
      </c>
      <c r="V28" s="92">
        <f t="shared" si="25"/>
        <v>0</v>
      </c>
      <c r="W28" s="92">
        <f t="shared" si="25"/>
        <v>0</v>
      </c>
      <c r="X28" s="92">
        <f t="shared" si="25"/>
        <v>0</v>
      </c>
      <c r="Y28" s="92">
        <f t="shared" si="25"/>
        <v>0</v>
      </c>
      <c r="Z28" s="92">
        <f t="shared" si="25"/>
        <v>0</v>
      </c>
      <c r="AA28" s="92">
        <f t="shared" si="25"/>
        <v>0</v>
      </c>
      <c r="AB28" s="92">
        <f t="shared" si="25"/>
        <v>0</v>
      </c>
      <c r="AC28" s="92">
        <f t="shared" si="25"/>
        <v>0</v>
      </c>
      <c r="AD28" s="92">
        <f t="shared" si="25"/>
        <v>0</v>
      </c>
      <c r="AE28" s="92">
        <f t="shared" si="25"/>
        <v>0</v>
      </c>
      <c r="AF28" s="92">
        <f t="shared" si="25"/>
        <v>0</v>
      </c>
      <c r="AG28" s="92">
        <f t="shared" si="25"/>
        <v>0</v>
      </c>
      <c r="AH28" s="92">
        <f t="shared" si="25"/>
        <v>0</v>
      </c>
      <c r="AI28" s="92">
        <f t="shared" si="25"/>
        <v>0</v>
      </c>
      <c r="AJ28" s="92">
        <f t="shared" si="25"/>
        <v>0</v>
      </c>
      <c r="AK28" s="92">
        <f t="shared" si="25"/>
        <v>0</v>
      </c>
      <c r="AL28" s="92">
        <f t="shared" si="25"/>
        <v>0</v>
      </c>
      <c r="AM28" s="92">
        <f t="shared" si="25"/>
        <v>0</v>
      </c>
      <c r="AN28" s="92">
        <f t="shared" si="25"/>
        <v>0</v>
      </c>
      <c r="AO28" s="92">
        <f t="shared" si="25"/>
        <v>0</v>
      </c>
      <c r="AP28" s="92">
        <f t="shared" si="25"/>
        <v>0</v>
      </c>
      <c r="AQ28" s="92">
        <f t="shared" si="25"/>
        <v>0</v>
      </c>
      <c r="AR28" s="92">
        <f t="shared" si="25"/>
        <v>0</v>
      </c>
      <c r="AS28" s="92">
        <f t="shared" si="25"/>
        <v>0</v>
      </c>
      <c r="AT28" s="92">
        <f t="shared" si="25"/>
        <v>0</v>
      </c>
      <c r="AU28" s="92">
        <f t="shared" si="25"/>
        <v>0</v>
      </c>
      <c r="AV28" s="92">
        <f t="shared" si="25"/>
        <v>0</v>
      </c>
      <c r="AW28" s="92">
        <f t="shared" si="25"/>
        <v>0</v>
      </c>
      <c r="AX28" s="92">
        <f t="shared" si="25"/>
        <v>0</v>
      </c>
      <c r="AY28" s="92">
        <f t="shared" si="25"/>
        <v>0</v>
      </c>
      <c r="AZ28" s="257">
        <f>SUM(U28:AY28)</f>
        <v>0</v>
      </c>
      <c r="BA28" s="291"/>
    </row>
    <row r="29" spans="1:65" s="2" customFormat="1" ht="15.75" thickBot="1" x14ac:dyDescent="0.3">
      <c r="T29" s="22" t="s">
        <v>68</v>
      </c>
      <c r="U29" s="23">
        <f>ROUND(U28/$L$2,1)</f>
        <v>0</v>
      </c>
      <c r="V29" s="23">
        <f t="shared" ref="V29:AY29" si="26">ROUND(V28/$L$2,1)</f>
        <v>0</v>
      </c>
      <c r="W29" s="23">
        <f t="shared" si="26"/>
        <v>0</v>
      </c>
      <c r="X29" s="23">
        <f t="shared" si="26"/>
        <v>0</v>
      </c>
      <c r="Y29" s="23">
        <f t="shared" si="26"/>
        <v>0</v>
      </c>
      <c r="Z29" s="23">
        <f t="shared" si="26"/>
        <v>0</v>
      </c>
      <c r="AA29" s="23">
        <f t="shared" si="26"/>
        <v>0</v>
      </c>
      <c r="AB29" s="23">
        <f t="shared" si="26"/>
        <v>0</v>
      </c>
      <c r="AC29" s="23">
        <f t="shared" si="26"/>
        <v>0</v>
      </c>
      <c r="AD29" s="23">
        <f t="shared" si="26"/>
        <v>0</v>
      </c>
      <c r="AE29" s="23">
        <f t="shared" si="26"/>
        <v>0</v>
      </c>
      <c r="AF29" s="23">
        <f t="shared" si="26"/>
        <v>0</v>
      </c>
      <c r="AG29" s="23">
        <f t="shared" si="26"/>
        <v>0</v>
      </c>
      <c r="AH29" s="23">
        <f t="shared" si="26"/>
        <v>0</v>
      </c>
      <c r="AI29" s="23">
        <f t="shared" si="26"/>
        <v>0</v>
      </c>
      <c r="AJ29" s="23">
        <f t="shared" si="26"/>
        <v>0</v>
      </c>
      <c r="AK29" s="23">
        <f t="shared" si="26"/>
        <v>0</v>
      </c>
      <c r="AL29" s="23">
        <f t="shared" si="26"/>
        <v>0</v>
      </c>
      <c r="AM29" s="23">
        <f t="shared" si="26"/>
        <v>0</v>
      </c>
      <c r="AN29" s="23">
        <f t="shared" si="26"/>
        <v>0</v>
      </c>
      <c r="AO29" s="23">
        <f t="shared" si="26"/>
        <v>0</v>
      </c>
      <c r="AP29" s="23">
        <f t="shared" si="26"/>
        <v>0</v>
      </c>
      <c r="AQ29" s="23">
        <f t="shared" si="26"/>
        <v>0</v>
      </c>
      <c r="AR29" s="23">
        <f t="shared" si="26"/>
        <v>0</v>
      </c>
      <c r="AS29" s="23">
        <f t="shared" si="26"/>
        <v>0</v>
      </c>
      <c r="AT29" s="23">
        <f t="shared" si="26"/>
        <v>0</v>
      </c>
      <c r="AU29" s="23">
        <f t="shared" si="26"/>
        <v>0</v>
      </c>
      <c r="AV29" s="23">
        <f t="shared" si="26"/>
        <v>0</v>
      </c>
      <c r="AW29" s="23">
        <f t="shared" si="26"/>
        <v>0</v>
      </c>
      <c r="AX29" s="23">
        <f t="shared" si="26"/>
        <v>0</v>
      </c>
      <c r="AY29" s="24">
        <f t="shared" si="26"/>
        <v>0</v>
      </c>
      <c r="AZ29" s="260">
        <f>SUM(U29:AY29)</f>
        <v>0</v>
      </c>
      <c r="BA29" s="291"/>
    </row>
    <row r="30" spans="1:65" s="2" customFormat="1" ht="15.75" thickBot="1" x14ac:dyDescent="0.3">
      <c r="A30" s="12"/>
      <c r="B30" s="12"/>
      <c r="C30" s="12"/>
      <c r="D30" s="12"/>
      <c r="E30" s="12"/>
      <c r="F30" s="12"/>
      <c r="T30" s="21" t="s">
        <v>69</v>
      </c>
      <c r="U30" s="21" t="str">
        <f>IF(U29=0, "",IF(U29&gt;U31, "!!!", "ок"))</f>
        <v/>
      </c>
      <c r="V30" s="21" t="str">
        <f t="shared" ref="V30:AY30" si="27">IF(V29=0, "",IF(V29&gt;V31, "!!!", "ок"))</f>
        <v/>
      </c>
      <c r="W30" s="21" t="str">
        <f t="shared" si="27"/>
        <v/>
      </c>
      <c r="X30" s="21" t="str">
        <f t="shared" si="27"/>
        <v/>
      </c>
      <c r="Y30" s="21" t="str">
        <f t="shared" si="27"/>
        <v/>
      </c>
      <c r="Z30" s="21" t="str">
        <f t="shared" si="27"/>
        <v/>
      </c>
      <c r="AA30" s="21" t="str">
        <f t="shared" si="27"/>
        <v/>
      </c>
      <c r="AB30" s="21" t="str">
        <f t="shared" si="27"/>
        <v/>
      </c>
      <c r="AC30" s="21" t="str">
        <f t="shared" si="27"/>
        <v/>
      </c>
      <c r="AD30" s="21" t="str">
        <f t="shared" si="27"/>
        <v/>
      </c>
      <c r="AE30" s="21" t="str">
        <f t="shared" si="27"/>
        <v/>
      </c>
      <c r="AF30" s="21" t="str">
        <f t="shared" si="27"/>
        <v/>
      </c>
      <c r="AG30" s="21" t="str">
        <f t="shared" si="27"/>
        <v/>
      </c>
      <c r="AH30" s="21" t="str">
        <f t="shared" si="27"/>
        <v/>
      </c>
      <c r="AI30" s="21" t="str">
        <f t="shared" si="27"/>
        <v/>
      </c>
      <c r="AJ30" s="21" t="str">
        <f t="shared" si="27"/>
        <v/>
      </c>
      <c r="AK30" s="21" t="str">
        <f t="shared" si="27"/>
        <v/>
      </c>
      <c r="AL30" s="21" t="str">
        <f t="shared" si="27"/>
        <v/>
      </c>
      <c r="AM30" s="21" t="str">
        <f t="shared" si="27"/>
        <v/>
      </c>
      <c r="AN30" s="21" t="str">
        <f t="shared" si="27"/>
        <v/>
      </c>
      <c r="AO30" s="21" t="str">
        <f t="shared" si="27"/>
        <v/>
      </c>
      <c r="AP30" s="21" t="str">
        <f t="shared" si="27"/>
        <v/>
      </c>
      <c r="AQ30" s="21" t="str">
        <f t="shared" si="27"/>
        <v/>
      </c>
      <c r="AR30" s="21" t="str">
        <f t="shared" si="27"/>
        <v/>
      </c>
      <c r="AS30" s="21" t="str">
        <f t="shared" si="27"/>
        <v/>
      </c>
      <c r="AT30" s="21" t="str">
        <f t="shared" si="27"/>
        <v/>
      </c>
      <c r="AU30" s="21" t="str">
        <f t="shared" si="27"/>
        <v/>
      </c>
      <c r="AV30" s="21" t="str">
        <f t="shared" si="27"/>
        <v/>
      </c>
      <c r="AW30" s="21" t="str">
        <f t="shared" si="27"/>
        <v/>
      </c>
      <c r="AX30" s="21" t="str">
        <f t="shared" si="27"/>
        <v/>
      </c>
      <c r="AY30" s="21" t="str">
        <f t="shared" si="27"/>
        <v/>
      </c>
      <c r="AZ30" s="258"/>
      <c r="BA30" s="293"/>
    </row>
    <row r="31" spans="1:65" s="3" customFormat="1" ht="29.25" customHeight="1" thickBot="1" x14ac:dyDescent="0.3">
      <c r="B31" s="52" t="s">
        <v>76</v>
      </c>
      <c r="C31" s="349"/>
      <c r="D31" s="349"/>
      <c r="E31" s="349"/>
      <c r="F31" s="349"/>
      <c r="G31" s="52"/>
      <c r="H31" s="52"/>
      <c r="I31" s="52"/>
      <c r="J31" s="52" t="s">
        <v>10</v>
      </c>
      <c r="K31" s="52" t="s">
        <v>5</v>
      </c>
      <c r="L31" s="52" t="s">
        <v>6</v>
      </c>
      <c r="M31" s="52" t="s">
        <v>79</v>
      </c>
      <c r="N31" s="2"/>
      <c r="O31" s="2"/>
      <c r="P31" s="2"/>
      <c r="Q31" s="2"/>
      <c r="T31" s="18" t="s">
        <v>66</v>
      </c>
      <c r="U31" s="19">
        <f>SUM(U32:U38)</f>
        <v>1</v>
      </c>
      <c r="V31" s="19">
        <f t="shared" ref="V31:AX31" si="28">SUM(V32:V38)</f>
        <v>1</v>
      </c>
      <c r="W31" s="19">
        <f t="shared" si="28"/>
        <v>1</v>
      </c>
      <c r="X31" s="19">
        <f t="shared" si="28"/>
        <v>1</v>
      </c>
      <c r="Y31" s="19">
        <f t="shared" si="28"/>
        <v>1</v>
      </c>
      <c r="Z31" s="19">
        <f t="shared" si="28"/>
        <v>1</v>
      </c>
      <c r="AA31" s="19">
        <f t="shared" si="28"/>
        <v>1</v>
      </c>
      <c r="AB31" s="19">
        <f t="shared" si="28"/>
        <v>1</v>
      </c>
      <c r="AC31" s="19">
        <f t="shared" si="28"/>
        <v>1</v>
      </c>
      <c r="AD31" s="19">
        <f t="shared" si="28"/>
        <v>0</v>
      </c>
      <c r="AE31" s="19">
        <f t="shared" si="28"/>
        <v>1</v>
      </c>
      <c r="AF31" s="19">
        <f t="shared" si="28"/>
        <v>1</v>
      </c>
      <c r="AG31" s="19">
        <f t="shared" si="28"/>
        <v>1</v>
      </c>
      <c r="AH31" s="19">
        <f t="shared" si="28"/>
        <v>1</v>
      </c>
      <c r="AI31" s="19">
        <f t="shared" si="28"/>
        <v>1</v>
      </c>
      <c r="AJ31" s="19">
        <f t="shared" si="28"/>
        <v>1</v>
      </c>
      <c r="AK31" s="19">
        <f t="shared" si="28"/>
        <v>1</v>
      </c>
      <c r="AL31" s="19">
        <f t="shared" si="28"/>
        <v>0</v>
      </c>
      <c r="AM31" s="19">
        <f t="shared" si="28"/>
        <v>1</v>
      </c>
      <c r="AN31" s="19">
        <f t="shared" si="28"/>
        <v>1</v>
      </c>
      <c r="AO31" s="19">
        <f t="shared" si="28"/>
        <v>1</v>
      </c>
      <c r="AP31" s="19">
        <f t="shared" si="28"/>
        <v>1</v>
      </c>
      <c r="AQ31" s="19">
        <f t="shared" si="28"/>
        <v>1</v>
      </c>
      <c r="AR31" s="19">
        <f t="shared" si="28"/>
        <v>1</v>
      </c>
      <c r="AS31" s="19">
        <f t="shared" si="28"/>
        <v>0</v>
      </c>
      <c r="AT31" s="19">
        <f t="shared" si="28"/>
        <v>1</v>
      </c>
      <c r="AU31" s="19">
        <f t="shared" si="28"/>
        <v>1</v>
      </c>
      <c r="AV31" s="19">
        <f t="shared" si="28"/>
        <v>1</v>
      </c>
      <c r="AW31" s="19">
        <f t="shared" si="28"/>
        <v>1</v>
      </c>
      <c r="AX31" s="19">
        <f t="shared" si="28"/>
        <v>0</v>
      </c>
      <c r="AY31" s="20"/>
      <c r="AZ31" s="261">
        <f>SUM(U31:AY31)</f>
        <v>26</v>
      </c>
      <c r="BA31" s="292"/>
    </row>
    <row r="32" spans="1:65" s="2" customFormat="1" x14ac:dyDescent="0.25">
      <c r="B32" s="8" t="s">
        <v>77</v>
      </c>
      <c r="C32" s="350"/>
      <c r="D32" s="350"/>
      <c r="E32" s="350"/>
      <c r="F32" s="350"/>
      <c r="G32" s="8"/>
      <c r="H32" s="8"/>
      <c r="I32" s="8"/>
      <c r="J32" s="8"/>
      <c r="K32" s="8">
        <f>L32*L2</f>
        <v>0</v>
      </c>
      <c r="L32" s="50"/>
      <c r="M32" s="8">
        <f>IFERROR(J32/K32,0)</f>
        <v>0</v>
      </c>
      <c r="T32" s="96" t="s">
        <v>368</v>
      </c>
      <c r="U32" s="49"/>
      <c r="V32" s="49"/>
      <c r="W32" s="189">
        <v>1</v>
      </c>
      <c r="X32" s="49"/>
      <c r="Y32" s="49"/>
      <c r="Z32" s="49"/>
      <c r="AA32" s="49"/>
      <c r="AB32" s="49"/>
      <c r="AC32" s="189">
        <v>1</v>
      </c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8"/>
      <c r="AZ32" s="259">
        <f>SUM(U32:AY32)</f>
        <v>2</v>
      </c>
      <c r="BA32" s="292"/>
    </row>
    <row r="33" spans="2:53" s="2" customFormat="1" x14ac:dyDescent="0.25">
      <c r="B33" s="9" t="s">
        <v>7</v>
      </c>
      <c r="C33" s="351"/>
      <c r="D33" s="351"/>
      <c r="E33" s="351"/>
      <c r="F33" s="351"/>
      <c r="G33" s="9"/>
      <c r="H33" s="9"/>
      <c r="I33" s="9"/>
      <c r="J33" s="10">
        <f>IFERROR(J32/J25,0)</f>
        <v>0</v>
      </c>
      <c r="K33" s="10">
        <f t="shared" ref="K33" si="29">IFERROR(K32/K25,0)</f>
        <v>0</v>
      </c>
      <c r="L33" s="10">
        <f>IFERROR(L32/L25,0)</f>
        <v>0</v>
      </c>
      <c r="M33" s="10">
        <f>IFERROR(M32/L3,0)</f>
        <v>0</v>
      </c>
      <c r="T33" s="96" t="s">
        <v>369</v>
      </c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189">
        <v>1</v>
      </c>
      <c r="AO33" s="49"/>
      <c r="AP33" s="49"/>
      <c r="AQ33" s="49"/>
      <c r="AR33" s="49"/>
      <c r="AS33" s="49"/>
      <c r="AT33" s="189">
        <v>1</v>
      </c>
      <c r="AU33" s="49"/>
      <c r="AV33" s="49"/>
      <c r="AW33" s="49"/>
      <c r="AX33" s="49"/>
      <c r="AY33" s="49"/>
      <c r="AZ33" s="254">
        <f t="shared" ref="AZ33:AZ38" si="30">SUM(U33:AY33)</f>
        <v>2</v>
      </c>
      <c r="BA33" s="292"/>
    </row>
    <row r="34" spans="2:53" s="2" customFormat="1" x14ac:dyDescent="0.25">
      <c r="T34" s="96" t="s">
        <v>370</v>
      </c>
      <c r="U34" s="189">
        <v>1</v>
      </c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189">
        <v>1</v>
      </c>
      <c r="AP34" s="49"/>
      <c r="AQ34" s="49"/>
      <c r="AR34" s="49"/>
      <c r="AS34" s="49"/>
      <c r="AT34" s="49"/>
      <c r="AU34" s="189">
        <v>1</v>
      </c>
      <c r="AV34" s="49"/>
      <c r="AW34" s="49"/>
      <c r="AX34" s="49"/>
      <c r="AY34" s="49"/>
      <c r="AZ34" s="254">
        <f t="shared" si="30"/>
        <v>3</v>
      </c>
      <c r="BA34" s="292"/>
    </row>
    <row r="35" spans="2:53" s="2" customFormat="1" x14ac:dyDescent="0.25">
      <c r="T35" s="96" t="s">
        <v>371</v>
      </c>
      <c r="U35" s="49"/>
      <c r="V35" s="189">
        <v>1</v>
      </c>
      <c r="W35" s="49"/>
      <c r="X35" s="189">
        <v>1</v>
      </c>
      <c r="Y35" s="189">
        <v>1</v>
      </c>
      <c r="Z35" s="189">
        <v>1</v>
      </c>
      <c r="AA35" s="189">
        <v>1</v>
      </c>
      <c r="AB35" s="49"/>
      <c r="AC35" s="49"/>
      <c r="AD35" s="49"/>
      <c r="AE35" s="189">
        <v>1</v>
      </c>
      <c r="AF35" s="189">
        <v>1</v>
      </c>
      <c r="AG35" s="189">
        <v>1</v>
      </c>
      <c r="AH35" s="49"/>
      <c r="AI35" s="49"/>
      <c r="AJ35" s="189">
        <v>1</v>
      </c>
      <c r="AK35" s="189">
        <v>1</v>
      </c>
      <c r="AL35" s="49"/>
      <c r="AM35" s="189">
        <v>1</v>
      </c>
      <c r="AN35" s="49"/>
      <c r="AO35" s="49"/>
      <c r="AP35" s="189">
        <v>1</v>
      </c>
      <c r="AQ35" s="189">
        <v>1</v>
      </c>
      <c r="AR35" s="189">
        <v>1</v>
      </c>
      <c r="AS35" s="49"/>
      <c r="AT35" s="49"/>
      <c r="AU35" s="49"/>
      <c r="AV35" s="189">
        <v>1</v>
      </c>
      <c r="AW35" s="189">
        <v>1</v>
      </c>
      <c r="AX35" s="49"/>
      <c r="AY35" s="49"/>
      <c r="AZ35" s="254">
        <f t="shared" si="30"/>
        <v>16</v>
      </c>
      <c r="BA35" s="292"/>
    </row>
    <row r="36" spans="2:53" x14ac:dyDescent="0.25">
      <c r="B36" s="281" t="s">
        <v>315</v>
      </c>
      <c r="C36" s="352"/>
      <c r="D36" s="281" t="s">
        <v>316</v>
      </c>
      <c r="E36" s="281" t="s">
        <v>317</v>
      </c>
      <c r="F36" s="352"/>
      <c r="S36" s="145"/>
      <c r="T36" s="96" t="s">
        <v>372</v>
      </c>
      <c r="U36" s="49"/>
      <c r="V36" s="49"/>
      <c r="W36" s="49"/>
      <c r="X36" s="49"/>
      <c r="Y36" s="49"/>
      <c r="Z36" s="49"/>
      <c r="AA36" s="49"/>
      <c r="AB36" s="189">
        <v>1</v>
      </c>
      <c r="AC36" s="49"/>
      <c r="AD36" s="49"/>
      <c r="AE36" s="49"/>
      <c r="AF36" s="49"/>
      <c r="AG36" s="49"/>
      <c r="AH36" s="189">
        <v>1</v>
      </c>
      <c r="AI36" s="189">
        <v>1</v>
      </c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254">
        <f t="shared" si="30"/>
        <v>3</v>
      </c>
      <c r="BA36" s="292"/>
    </row>
    <row r="37" spans="2:53" x14ac:dyDescent="0.25">
      <c r="B37" s="198" t="s">
        <v>291</v>
      </c>
      <c r="C37" s="353"/>
      <c r="D37" s="282"/>
      <c r="E37" s="280">
        <f>IFERROR(D37/$M$1,"")</f>
        <v>0</v>
      </c>
      <c r="F37" s="353"/>
      <c r="T37" s="96" t="s">
        <v>64</v>
      </c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254">
        <f t="shared" si="30"/>
        <v>0</v>
      </c>
      <c r="BA37" s="292"/>
    </row>
    <row r="38" spans="2:53" ht="15.75" thickBot="1" x14ac:dyDescent="0.3">
      <c r="B38" s="198" t="s">
        <v>292</v>
      </c>
      <c r="C38" s="353"/>
      <c r="D38" s="282"/>
      <c r="E38" s="280">
        <f>IFERROR(D38/$M$1,"")</f>
        <v>0</v>
      </c>
      <c r="F38" s="353"/>
      <c r="T38" s="96" t="s">
        <v>65</v>
      </c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255">
        <f t="shared" si="30"/>
        <v>0</v>
      </c>
      <c r="BA38" s="292"/>
    </row>
    <row r="39" spans="2:53" ht="15.75" thickTop="1" x14ac:dyDescent="0.25">
      <c r="B39" s="198" t="s">
        <v>293</v>
      </c>
      <c r="C39" s="353"/>
      <c r="D39" s="282"/>
      <c r="E39" s="280">
        <f>IFERROR(D39/$M$1,"")</f>
        <v>0</v>
      </c>
      <c r="F39" s="353"/>
    </row>
    <row r="40" spans="2:53" ht="15.75" thickBot="1" x14ac:dyDescent="0.3">
      <c r="B40" s="198" t="s">
        <v>294</v>
      </c>
      <c r="C40" s="353"/>
      <c r="D40" s="282"/>
      <c r="E40" s="280">
        <f>IFERROR(D40/$M$1,"")</f>
        <v>0</v>
      </c>
      <c r="F40" s="353"/>
      <c r="R40" s="181"/>
      <c r="S40" s="181"/>
      <c r="T40" s="414" t="s">
        <v>313</v>
      </c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4"/>
      <c r="AL40" s="414"/>
      <c r="AM40" s="414"/>
      <c r="AN40" s="414"/>
      <c r="AO40" s="414"/>
      <c r="AP40" s="414"/>
      <c r="AQ40" s="414"/>
      <c r="AR40" s="414"/>
      <c r="AS40" s="414"/>
      <c r="AT40" s="414"/>
      <c r="AU40" s="414"/>
      <c r="AV40" s="414"/>
      <c r="AW40" s="414"/>
      <c r="AX40" s="414"/>
      <c r="AY40" s="414"/>
      <c r="AZ40" s="201"/>
      <c r="BA40" s="332"/>
    </row>
    <row r="41" spans="2:53" ht="15.75" customHeight="1" thickTop="1" thickBot="1" x14ac:dyDescent="0.3">
      <c r="B41" s="198" t="s">
        <v>295</v>
      </c>
      <c r="C41" s="353"/>
      <c r="D41" s="282"/>
      <c r="E41" s="280">
        <f>IFERROR(D41/$M$1,"")</f>
        <v>0</v>
      </c>
      <c r="F41" s="353"/>
      <c r="R41" s="415" t="s">
        <v>312</v>
      </c>
      <c r="S41" s="416"/>
      <c r="T41" s="246" t="s">
        <v>314</v>
      </c>
      <c r="U41" s="159">
        <v>1</v>
      </c>
      <c r="V41" s="57">
        <v>2</v>
      </c>
      <c r="W41" s="16">
        <v>3</v>
      </c>
      <c r="X41" s="16">
        <v>4</v>
      </c>
      <c r="Y41" s="16">
        <v>5</v>
      </c>
      <c r="Z41" s="16">
        <v>6</v>
      </c>
      <c r="AA41" s="16">
        <v>7</v>
      </c>
      <c r="AB41" s="57">
        <v>8</v>
      </c>
      <c r="AC41" s="57">
        <v>9</v>
      </c>
      <c r="AD41" s="16">
        <v>10</v>
      </c>
      <c r="AE41" s="16">
        <v>11</v>
      </c>
      <c r="AF41" s="16">
        <v>12</v>
      </c>
      <c r="AG41" s="16">
        <v>13</v>
      </c>
      <c r="AH41" s="16">
        <v>14</v>
      </c>
      <c r="AI41" s="57">
        <v>15</v>
      </c>
      <c r="AJ41" s="57">
        <v>16</v>
      </c>
      <c r="AK41" s="16">
        <v>17</v>
      </c>
      <c r="AL41" s="16">
        <v>18</v>
      </c>
      <c r="AM41" s="16">
        <v>19</v>
      </c>
      <c r="AN41" s="16">
        <v>20</v>
      </c>
      <c r="AO41" s="16">
        <v>21</v>
      </c>
      <c r="AP41" s="57">
        <v>22</v>
      </c>
      <c r="AQ41" s="57">
        <v>23</v>
      </c>
      <c r="AR41" s="16">
        <v>24</v>
      </c>
      <c r="AS41" s="16">
        <v>25</v>
      </c>
      <c r="AT41" s="16">
        <v>26</v>
      </c>
      <c r="AU41" s="16">
        <v>27</v>
      </c>
      <c r="AV41" s="16">
        <v>28</v>
      </c>
      <c r="AW41" s="57">
        <v>29</v>
      </c>
      <c r="AX41" s="57">
        <v>30</v>
      </c>
      <c r="AY41" s="253"/>
      <c r="AZ41" s="256" t="s">
        <v>159</v>
      </c>
      <c r="BA41" s="292"/>
    </row>
    <row r="42" spans="2:53" x14ac:dyDescent="0.25">
      <c r="R42" s="412"/>
      <c r="S42" s="413"/>
      <c r="T42" s="96" t="s">
        <v>368</v>
      </c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252"/>
      <c r="AZ42" s="254">
        <f t="shared" ref="AZ42:AZ48" si="31">SUM(U42:AY42)</f>
        <v>0</v>
      </c>
      <c r="BA42" s="292"/>
    </row>
    <row r="43" spans="2:53" x14ac:dyDescent="0.25">
      <c r="R43" s="412"/>
      <c r="S43" s="413"/>
      <c r="T43" s="96" t="s">
        <v>369</v>
      </c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252"/>
      <c r="AZ43" s="254">
        <f t="shared" si="31"/>
        <v>0</v>
      </c>
      <c r="BA43" s="292"/>
    </row>
    <row r="44" spans="2:53" x14ac:dyDescent="0.25">
      <c r="R44" s="412"/>
      <c r="S44" s="413"/>
      <c r="T44" s="96" t="s">
        <v>370</v>
      </c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252"/>
      <c r="AZ44" s="254">
        <f t="shared" si="31"/>
        <v>0</v>
      </c>
      <c r="BA44" s="292"/>
    </row>
    <row r="45" spans="2:53" x14ac:dyDescent="0.25">
      <c r="R45" s="412"/>
      <c r="S45" s="413"/>
      <c r="T45" s="96" t="s">
        <v>371</v>
      </c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252"/>
      <c r="AZ45" s="254">
        <f t="shared" si="31"/>
        <v>0</v>
      </c>
      <c r="BA45" s="292"/>
    </row>
    <row r="46" spans="2:53" x14ac:dyDescent="0.25">
      <c r="R46" s="412"/>
      <c r="S46" s="413"/>
      <c r="T46" s="96" t="s">
        <v>372</v>
      </c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252"/>
      <c r="AZ46" s="254">
        <f t="shared" si="31"/>
        <v>0</v>
      </c>
      <c r="BA46" s="292"/>
    </row>
    <row r="47" spans="2:53" x14ac:dyDescent="0.25">
      <c r="R47" s="412"/>
      <c r="S47" s="413"/>
      <c r="T47" s="96" t="s">
        <v>64</v>
      </c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252"/>
      <c r="AZ47" s="254">
        <f t="shared" si="31"/>
        <v>0</v>
      </c>
      <c r="BA47" s="292"/>
    </row>
    <row r="48" spans="2:53" ht="15.75" thickBot="1" x14ac:dyDescent="0.3">
      <c r="R48" s="412"/>
      <c r="S48" s="413"/>
      <c r="T48" s="96" t="s">
        <v>65</v>
      </c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252"/>
      <c r="AZ48" s="255">
        <f t="shared" si="31"/>
        <v>0</v>
      </c>
      <c r="BA48" s="292"/>
    </row>
    <row r="49" ht="15.75" thickTop="1" x14ac:dyDescent="0.25"/>
  </sheetData>
  <mergeCells count="39">
    <mergeCell ref="A26:G26"/>
    <mergeCell ref="M6:M7"/>
    <mergeCell ref="N6:N7"/>
    <mergeCell ref="O6:O7"/>
    <mergeCell ref="H6:I6"/>
    <mergeCell ref="P6:P7"/>
    <mergeCell ref="A5:A7"/>
    <mergeCell ref="N5:O5"/>
    <mergeCell ref="P5:S5"/>
    <mergeCell ref="J6:J7"/>
    <mergeCell ref="K6:L6"/>
    <mergeCell ref="S6:S7"/>
    <mergeCell ref="Q6:Q7"/>
    <mergeCell ref="R6:R7"/>
    <mergeCell ref="B5:E5"/>
    <mergeCell ref="B6:B7"/>
    <mergeCell ref="C6:E6"/>
    <mergeCell ref="F6:F7"/>
    <mergeCell ref="F5:M5"/>
    <mergeCell ref="G6:G7"/>
    <mergeCell ref="BK5:BK7"/>
    <mergeCell ref="BL5:BM6"/>
    <mergeCell ref="T40:AY40"/>
    <mergeCell ref="R41:S41"/>
    <mergeCell ref="R42:S42"/>
    <mergeCell ref="BC5:BC7"/>
    <mergeCell ref="BD5:BE6"/>
    <mergeCell ref="BH5:BH7"/>
    <mergeCell ref="BI5:BJ6"/>
    <mergeCell ref="T5:T7"/>
    <mergeCell ref="BF5:BG6"/>
    <mergeCell ref="U5:AY5"/>
    <mergeCell ref="AZ5:BA5"/>
    <mergeCell ref="R48:S48"/>
    <mergeCell ref="R43:S43"/>
    <mergeCell ref="R44:S44"/>
    <mergeCell ref="R45:S45"/>
    <mergeCell ref="R46:S46"/>
    <mergeCell ref="R47:S47"/>
  </mergeCells>
  <conditionalFormatting sqref="U32:AY38">
    <cfRule type="cellIs" dxfId="109" priority="18" operator="equal">
      <formula>1</formula>
    </cfRule>
  </conditionalFormatting>
  <conditionalFormatting sqref="U30:AY30">
    <cfRule type="cellIs" dxfId="108" priority="17" operator="equal">
      <formula>"!!!"</formula>
    </cfRule>
  </conditionalFormatting>
  <conditionalFormatting sqref="T8:T24">
    <cfRule type="cellIs" dxfId="107" priority="15" operator="lessThan">
      <formula>0</formula>
    </cfRule>
    <cfRule type="cellIs" dxfId="106" priority="16" operator="equal">
      <formula>0</formula>
    </cfRule>
  </conditionalFormatting>
  <conditionalFormatting sqref="U26:AY26">
    <cfRule type="cellIs" dxfId="105" priority="13" operator="lessThan">
      <formula>-0.1</formula>
    </cfRule>
    <cfRule type="cellIs" dxfId="104" priority="14" operator="equal">
      <formula>0</formula>
    </cfRule>
  </conditionalFormatting>
  <conditionalFormatting sqref="BE8:BE25 BC8:BC25 BG8:BL25">
    <cfRule type="cellIs" dxfId="103" priority="12" operator="equal">
      <formula>0</formula>
    </cfRule>
  </conditionalFormatting>
  <conditionalFormatting sqref="BM8:BM25">
    <cfRule type="cellIs" dxfId="102" priority="11" operator="equal">
      <formula>0</formula>
    </cfRule>
  </conditionalFormatting>
  <conditionalFormatting sqref="T40">
    <cfRule type="cellIs" dxfId="101" priority="10" operator="equal">
      <formula>1</formula>
    </cfRule>
  </conditionalFormatting>
  <conditionalFormatting sqref="U42:AY48">
    <cfRule type="cellIs" dxfId="100" priority="9" operator="equal">
      <formula>1</formula>
    </cfRule>
  </conditionalFormatting>
  <conditionalFormatting sqref="AZ26:BA26">
    <cfRule type="cellIs" dxfId="99" priority="7" operator="lessThan">
      <formula>-0.1</formula>
    </cfRule>
    <cfRule type="cellIs" dxfId="98" priority="8" operator="equal">
      <formula>0</formula>
    </cfRule>
  </conditionalFormatting>
  <conditionalFormatting sqref="U6:AY6">
    <cfRule type="containsText" dxfId="97" priority="5" operator="containsText" text="пл">
      <formula>NOT(ISERROR(SEARCH("пл",U6)))</formula>
    </cfRule>
    <cfRule type="containsText" dxfId="96" priority="6" operator="containsText" text="ф">
      <formula>NOT(ISERROR(SEARCH("ф",U6)))</formula>
    </cfRule>
  </conditionalFormatting>
  <conditionalFormatting sqref="AZ6">
    <cfRule type="containsText" dxfId="95" priority="1" operator="containsText" text="пл">
      <formula>NOT(ISERROR(SEARCH("пл",AZ6)))</formula>
    </cfRule>
    <cfRule type="containsText" dxfId="94" priority="2" operator="containsText" text="ф">
      <formula>NOT(ISERROR(SEARCH("ф",AZ6)))</formula>
    </cfRule>
  </conditionalFormatting>
  <conditionalFormatting sqref="BA6">
    <cfRule type="containsText" dxfId="93" priority="3" operator="containsText" text="пл">
      <formula>NOT(ISERROR(SEARCH("пл",BA6)))</formula>
    </cfRule>
    <cfRule type="containsText" dxfId="92" priority="4" operator="containsText" text="ф">
      <formula>NOT(ISERROR(SEARCH("ф",BA6)))</formula>
    </cfRule>
  </conditionalFormatting>
  <dataValidations count="1">
    <dataValidation type="list" allowBlank="1" showInputMessage="1" showErrorMessage="1" sqref="BG3" xr:uid="{00000000-0002-0000-0100-000000000000}">
      <formula1>$CD$1:$CD$2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E66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R24" sqref="R24"/>
    </sheetView>
  </sheetViews>
  <sheetFormatPr defaultRowHeight="15" outlineLevelCol="1" x14ac:dyDescent="0.25"/>
  <cols>
    <col min="1" max="1" width="38" customWidth="1"/>
    <col min="2" max="2" width="38" style="330" customWidth="1" outlineLevel="1"/>
    <col min="3" max="8" width="8.85546875" customWidth="1"/>
    <col min="9" max="9" width="8.7109375" customWidth="1"/>
    <col min="10" max="10" width="9.28515625" customWidth="1"/>
    <col min="11" max="12" width="9.7109375" customWidth="1"/>
    <col min="13" max="13" width="12.28515625" customWidth="1"/>
    <col min="14" max="14" width="9.7109375" customWidth="1"/>
    <col min="15" max="15" width="11.7109375" customWidth="1"/>
    <col min="16" max="17" width="9.5703125" customWidth="1" outlineLevel="1"/>
    <col min="18" max="18" width="12" customWidth="1" outlineLevel="1"/>
    <col min="19" max="19" width="10.28515625" customWidth="1" outlineLevel="1"/>
    <col min="20" max="20" width="9.140625" customWidth="1" outlineLevel="1"/>
    <col min="21" max="21" width="15.42578125" customWidth="1"/>
    <col min="22" max="52" width="4.85546875" style="2" customWidth="1"/>
    <col min="53" max="53" width="6.28515625" customWidth="1"/>
    <col min="54" max="54" width="6.28515625" style="330" customWidth="1"/>
    <col min="55" max="55" width="8.5703125" customWidth="1"/>
    <col min="61" max="61" width="10.5703125" customWidth="1"/>
    <col min="62" max="63" width="10" customWidth="1"/>
  </cols>
  <sheetData>
    <row r="1" spans="1:83" ht="19.5" thickBot="1" x14ac:dyDescent="0.35">
      <c r="A1" s="51" t="s">
        <v>12</v>
      </c>
      <c r="B1" s="287"/>
      <c r="K1" s="25" t="s">
        <v>4</v>
      </c>
      <c r="L1" s="42">
        <v>4</v>
      </c>
      <c r="M1" s="42">
        <v>2.5</v>
      </c>
      <c r="N1" s="58" t="s">
        <v>98</v>
      </c>
      <c r="BD1" s="202" t="s">
        <v>296</v>
      </c>
      <c r="BE1" s="203">
        <f ca="1">TODAY()</f>
        <v>43371</v>
      </c>
      <c r="BF1" s="181"/>
      <c r="BG1" s="181"/>
      <c r="BH1" s="181"/>
      <c r="BI1" s="181"/>
      <c r="BJ1" s="181"/>
      <c r="BK1" s="181"/>
      <c r="BL1" s="181"/>
      <c r="BM1" s="181"/>
      <c r="BN1" s="181"/>
      <c r="CD1" t="s">
        <v>414</v>
      </c>
      <c r="CE1" s="2"/>
    </row>
    <row r="2" spans="1:83" ht="19.5" thickBot="1" x14ac:dyDescent="0.35">
      <c r="A2" s="233">
        <v>43374</v>
      </c>
      <c r="B2" s="348"/>
      <c r="K2" s="25" t="s">
        <v>2</v>
      </c>
      <c r="L2" s="43">
        <v>11</v>
      </c>
      <c r="BD2" s="202" t="s">
        <v>297</v>
      </c>
      <c r="BE2" s="239">
        <f ca="1">BE1-A2</f>
        <v>-3</v>
      </c>
      <c r="BF2" s="181"/>
      <c r="BG2" s="392" t="s">
        <v>416</v>
      </c>
      <c r="BH2" s="181"/>
      <c r="BI2" s="181"/>
      <c r="BJ2" s="181"/>
      <c r="BK2" s="181"/>
      <c r="BL2" s="181"/>
      <c r="BM2" s="181"/>
      <c r="BN2" s="181"/>
      <c r="CD2" t="s">
        <v>415</v>
      </c>
      <c r="CE2" s="2"/>
    </row>
    <row r="3" spans="1:83" ht="16.5" thickBot="1" x14ac:dyDescent="0.3">
      <c r="A3" s="322" t="s">
        <v>361</v>
      </c>
      <c r="B3" s="322"/>
      <c r="K3" s="25" t="s">
        <v>61</v>
      </c>
      <c r="L3" s="42">
        <v>8.5</v>
      </c>
      <c r="BD3" s="202" t="s">
        <v>298</v>
      </c>
      <c r="BE3" s="232">
        <f ca="1">L4-BE2</f>
        <v>34</v>
      </c>
      <c r="BF3" s="181"/>
      <c r="BG3" s="393" t="s">
        <v>415</v>
      </c>
      <c r="BH3" s="181"/>
      <c r="BI3" s="181"/>
      <c r="BJ3" s="181"/>
      <c r="BK3" s="181"/>
      <c r="BL3" s="181"/>
      <c r="BM3" s="181"/>
      <c r="BN3" s="181"/>
    </row>
    <row r="4" spans="1:83" ht="19.5" thickBot="1" x14ac:dyDescent="0.35">
      <c r="A4" s="11"/>
      <c r="B4" s="11"/>
      <c r="K4" s="25" t="s">
        <v>78</v>
      </c>
      <c r="L4" s="42">
        <v>31</v>
      </c>
      <c r="V4" s="297" t="s">
        <v>356</v>
      </c>
      <c r="BD4" s="113" t="s">
        <v>354</v>
      </c>
      <c r="BE4" s="181"/>
      <c r="BF4" s="181"/>
      <c r="BG4" s="181"/>
      <c r="BH4" s="181"/>
      <c r="BI4" s="181"/>
      <c r="BJ4" s="181"/>
      <c r="BK4" s="181"/>
      <c r="BL4" s="181"/>
      <c r="BM4" s="181"/>
      <c r="BN4" s="181"/>
    </row>
    <row r="5" spans="1:83" ht="16.5" customHeight="1" thickTop="1" thickBot="1" x14ac:dyDescent="0.3">
      <c r="A5" s="479" t="s">
        <v>319</v>
      </c>
      <c r="B5" s="456" t="s">
        <v>387</v>
      </c>
      <c r="C5" s="491" t="s">
        <v>60</v>
      </c>
      <c r="D5" s="426"/>
      <c r="E5" s="426"/>
      <c r="F5" s="426"/>
      <c r="G5" s="426"/>
      <c r="H5" s="426"/>
      <c r="I5" s="426"/>
      <c r="J5" s="426"/>
      <c r="K5" s="492"/>
      <c r="L5" s="493"/>
      <c r="M5" s="492"/>
      <c r="N5" s="438" t="s">
        <v>75</v>
      </c>
      <c r="O5" s="439"/>
      <c r="P5" s="489" t="s">
        <v>84</v>
      </c>
      <c r="Q5" s="489"/>
      <c r="R5" s="489"/>
      <c r="S5" s="489"/>
      <c r="T5" s="490"/>
      <c r="U5" s="472" t="s">
        <v>80</v>
      </c>
      <c r="V5" s="469" t="s">
        <v>81</v>
      </c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0"/>
      <c r="AZ5" s="471"/>
      <c r="BA5" s="466" t="s">
        <v>359</v>
      </c>
      <c r="BB5" s="467"/>
      <c r="BD5" s="446" t="s">
        <v>309</v>
      </c>
      <c r="BE5" s="449" t="s">
        <v>300</v>
      </c>
      <c r="BF5" s="451"/>
      <c r="BG5" s="455" t="s">
        <v>301</v>
      </c>
      <c r="BH5" s="456"/>
      <c r="BI5" s="459" t="s">
        <v>302</v>
      </c>
      <c r="BJ5" s="460" t="s">
        <v>310</v>
      </c>
      <c r="BK5" s="462"/>
      <c r="BL5" s="468" t="str">
        <f ca="1">CONCATENATE("План пр-ва с ", BE2+1," по ", L4, "-е, шт")</f>
        <v>План пр-ва с -2 по 31-е, шт</v>
      </c>
      <c r="BM5" s="442" t="s">
        <v>348</v>
      </c>
      <c r="BN5" s="443"/>
    </row>
    <row r="6" spans="1:83" s="3" customFormat="1" ht="15.75" customHeight="1" thickTop="1" x14ac:dyDescent="0.25">
      <c r="A6" s="480"/>
      <c r="B6" s="488"/>
      <c r="C6" s="494" t="s">
        <v>386</v>
      </c>
      <c r="D6" s="427" t="s">
        <v>233</v>
      </c>
      <c r="E6" s="428"/>
      <c r="F6" s="428"/>
      <c r="G6" s="505" t="s">
        <v>234</v>
      </c>
      <c r="H6" s="441"/>
      <c r="I6" s="434" t="s">
        <v>236</v>
      </c>
      <c r="J6" s="433" t="s">
        <v>9</v>
      </c>
      <c r="K6" s="487" t="s">
        <v>70</v>
      </c>
      <c r="L6" s="431"/>
      <c r="M6" s="427" t="s">
        <v>73</v>
      </c>
      <c r="N6" s="436" t="s">
        <v>58</v>
      </c>
      <c r="O6" s="437" t="s">
        <v>74</v>
      </c>
      <c r="P6" s="421" t="s">
        <v>90</v>
      </c>
      <c r="Q6" s="421" t="s">
        <v>96</v>
      </c>
      <c r="R6" s="440" t="s">
        <v>94</v>
      </c>
      <c r="S6" s="440" t="s">
        <v>95</v>
      </c>
      <c r="T6" s="420" t="s">
        <v>85</v>
      </c>
      <c r="U6" s="473"/>
      <c r="V6" s="334" t="str">
        <f t="shared" ref="V6:AZ6" ca="1" si="0">IF(V7&gt;$BE$2, "пл", "ф")</f>
        <v>пл</v>
      </c>
      <c r="W6" s="335" t="str">
        <f t="shared" ca="1" si="0"/>
        <v>пл</v>
      </c>
      <c r="X6" s="335" t="str">
        <f t="shared" ca="1" si="0"/>
        <v>пл</v>
      </c>
      <c r="Y6" s="335" t="str">
        <f t="shared" ca="1" si="0"/>
        <v>пл</v>
      </c>
      <c r="Z6" s="335" t="str">
        <f t="shared" ca="1" si="0"/>
        <v>пл</v>
      </c>
      <c r="AA6" s="335" t="str">
        <f t="shared" ca="1" si="0"/>
        <v>пл</v>
      </c>
      <c r="AB6" s="335" t="str">
        <f t="shared" ca="1" si="0"/>
        <v>пл</v>
      </c>
      <c r="AC6" s="335" t="str">
        <f t="shared" ca="1" si="0"/>
        <v>пл</v>
      </c>
      <c r="AD6" s="335" t="str">
        <f t="shared" ca="1" si="0"/>
        <v>пл</v>
      </c>
      <c r="AE6" s="335" t="str">
        <f t="shared" ca="1" si="0"/>
        <v>пл</v>
      </c>
      <c r="AF6" s="335" t="str">
        <f t="shared" ca="1" si="0"/>
        <v>пл</v>
      </c>
      <c r="AG6" s="335" t="str">
        <f t="shared" ca="1" si="0"/>
        <v>пл</v>
      </c>
      <c r="AH6" s="335" t="str">
        <f t="shared" ca="1" si="0"/>
        <v>пл</v>
      </c>
      <c r="AI6" s="335" t="str">
        <f t="shared" ca="1" si="0"/>
        <v>пл</v>
      </c>
      <c r="AJ6" s="335" t="str">
        <f t="shared" ca="1" si="0"/>
        <v>пл</v>
      </c>
      <c r="AK6" s="335" t="str">
        <f t="shared" ca="1" si="0"/>
        <v>пл</v>
      </c>
      <c r="AL6" s="335" t="str">
        <f t="shared" ca="1" si="0"/>
        <v>пл</v>
      </c>
      <c r="AM6" s="335" t="str">
        <f t="shared" ca="1" si="0"/>
        <v>пл</v>
      </c>
      <c r="AN6" s="335" t="str">
        <f t="shared" ca="1" si="0"/>
        <v>пл</v>
      </c>
      <c r="AO6" s="335" t="str">
        <f t="shared" ca="1" si="0"/>
        <v>пл</v>
      </c>
      <c r="AP6" s="335" t="str">
        <f t="shared" ca="1" si="0"/>
        <v>пл</v>
      </c>
      <c r="AQ6" s="335" t="str">
        <f t="shared" ca="1" si="0"/>
        <v>пл</v>
      </c>
      <c r="AR6" s="335" t="str">
        <f t="shared" ca="1" si="0"/>
        <v>пл</v>
      </c>
      <c r="AS6" s="335" t="str">
        <f t="shared" ca="1" si="0"/>
        <v>пл</v>
      </c>
      <c r="AT6" s="335" t="str">
        <f t="shared" ca="1" si="0"/>
        <v>пл</v>
      </c>
      <c r="AU6" s="335" t="str">
        <f t="shared" ca="1" si="0"/>
        <v>пл</v>
      </c>
      <c r="AV6" s="335" t="str">
        <f t="shared" ca="1" si="0"/>
        <v>пл</v>
      </c>
      <c r="AW6" s="335" t="str">
        <f t="shared" ca="1" si="0"/>
        <v>пл</v>
      </c>
      <c r="AX6" s="335" t="str">
        <f t="shared" ca="1" si="0"/>
        <v>пл</v>
      </c>
      <c r="AY6" s="335" t="str">
        <f t="shared" ca="1" si="0"/>
        <v>пл</v>
      </c>
      <c r="AZ6" s="336" t="str">
        <f t="shared" ca="1" si="0"/>
        <v>пл</v>
      </c>
      <c r="BA6" s="307" t="s">
        <v>351</v>
      </c>
      <c r="BB6" s="308" t="s">
        <v>352</v>
      </c>
      <c r="BD6" s="447"/>
      <c r="BE6" s="452"/>
      <c r="BF6" s="454"/>
      <c r="BG6" s="457"/>
      <c r="BH6" s="458"/>
      <c r="BI6" s="459"/>
      <c r="BJ6" s="463"/>
      <c r="BK6" s="465"/>
      <c r="BL6" s="468"/>
      <c r="BM6" s="444"/>
      <c r="BN6" s="445"/>
    </row>
    <row r="7" spans="1:83" s="3" customFormat="1" ht="35.25" customHeight="1" x14ac:dyDescent="0.25">
      <c r="A7" s="481"/>
      <c r="B7" s="478"/>
      <c r="C7" s="427"/>
      <c r="D7" s="103" t="s">
        <v>86</v>
      </c>
      <c r="E7" s="103" t="s">
        <v>87</v>
      </c>
      <c r="F7" s="103" t="s">
        <v>88</v>
      </c>
      <c r="G7" s="506" t="s">
        <v>417</v>
      </c>
      <c r="H7" s="87" t="s">
        <v>235</v>
      </c>
      <c r="I7" s="435"/>
      <c r="J7" s="433"/>
      <c r="K7" s="15" t="s">
        <v>0</v>
      </c>
      <c r="L7" s="14" t="s">
        <v>1</v>
      </c>
      <c r="M7" s="427"/>
      <c r="N7" s="436"/>
      <c r="O7" s="437"/>
      <c r="P7" s="421"/>
      <c r="Q7" s="421"/>
      <c r="R7" s="440"/>
      <c r="S7" s="440"/>
      <c r="T7" s="420"/>
      <c r="U7" s="473"/>
      <c r="V7" s="97">
        <v>1</v>
      </c>
      <c r="W7" s="57">
        <v>2</v>
      </c>
      <c r="X7" s="16">
        <v>3</v>
      </c>
      <c r="Y7" s="100">
        <v>4</v>
      </c>
      <c r="Z7" s="16">
        <v>5</v>
      </c>
      <c r="AA7" s="100">
        <v>6</v>
      </c>
      <c r="AB7" s="16">
        <v>7</v>
      </c>
      <c r="AC7" s="57">
        <v>8</v>
      </c>
      <c r="AD7" s="57">
        <v>9</v>
      </c>
      <c r="AE7" s="16">
        <v>10</v>
      </c>
      <c r="AF7" s="100">
        <v>11</v>
      </c>
      <c r="AG7" s="16">
        <v>12</v>
      </c>
      <c r="AH7" s="100">
        <v>13</v>
      </c>
      <c r="AI7" s="16">
        <v>14</v>
      </c>
      <c r="AJ7" s="57">
        <v>15</v>
      </c>
      <c r="AK7" s="57">
        <v>16</v>
      </c>
      <c r="AL7" s="16">
        <v>17</v>
      </c>
      <c r="AM7" s="100">
        <v>18</v>
      </c>
      <c r="AN7" s="16">
        <v>19</v>
      </c>
      <c r="AO7" s="100">
        <v>20</v>
      </c>
      <c r="AP7" s="16">
        <v>21</v>
      </c>
      <c r="AQ7" s="57">
        <v>22</v>
      </c>
      <c r="AR7" s="57">
        <v>23</v>
      </c>
      <c r="AS7" s="16">
        <v>24</v>
      </c>
      <c r="AT7" s="100">
        <v>25</v>
      </c>
      <c r="AU7" s="16">
        <v>26</v>
      </c>
      <c r="AV7" s="100">
        <v>27</v>
      </c>
      <c r="AW7" s="16">
        <v>28</v>
      </c>
      <c r="AX7" s="57">
        <v>29</v>
      </c>
      <c r="AY7" s="57">
        <v>30</v>
      </c>
      <c r="AZ7" s="16">
        <v>31</v>
      </c>
      <c r="BA7" s="309" t="s">
        <v>357</v>
      </c>
      <c r="BB7" s="310" t="s">
        <v>358</v>
      </c>
      <c r="BD7" s="448"/>
      <c r="BE7" s="205" t="s">
        <v>304</v>
      </c>
      <c r="BF7" s="207" t="s">
        <v>308</v>
      </c>
      <c r="BG7" s="208" t="s">
        <v>304</v>
      </c>
      <c r="BH7" s="209" t="s">
        <v>307</v>
      </c>
      <c r="BI7" s="459"/>
      <c r="BJ7" s="210" t="s">
        <v>304</v>
      </c>
      <c r="BK7" s="212" t="s">
        <v>308</v>
      </c>
      <c r="BL7" s="468"/>
      <c r="BM7" s="407" t="s">
        <v>349</v>
      </c>
      <c r="BN7" s="405" t="s">
        <v>418</v>
      </c>
    </row>
    <row r="8" spans="1:83" s="6" customFormat="1" x14ac:dyDescent="0.25">
      <c r="A8" s="376" t="s">
        <v>13</v>
      </c>
      <c r="B8" s="370" t="s">
        <v>388</v>
      </c>
      <c r="C8" s="386">
        <v>0.11</v>
      </c>
      <c r="D8" s="93"/>
      <c r="E8" s="93"/>
      <c r="F8" s="93"/>
      <c r="G8" s="394"/>
      <c r="H8" s="191"/>
      <c r="I8" s="88">
        <f>IF($BG$3="да",BA8+BB8,IF((SUM(D8:F8)-G8+H8)&lt;0,0,SUM(D8:F8)-G8+H8))</f>
        <v>0</v>
      </c>
      <c r="J8" s="83">
        <f>C8*I8</f>
        <v>0</v>
      </c>
      <c r="K8" s="34">
        <f t="shared" ref="K8:K42" si="1">IFERROR(J8/$L$3,0)</f>
        <v>0</v>
      </c>
      <c r="L8" s="5">
        <f t="shared" ref="L8:L41" si="2">IFERROR(ROUND(K8/$L$2,0),0)</f>
        <v>0</v>
      </c>
      <c r="M8" s="61"/>
      <c r="N8" s="70"/>
      <c r="O8" s="71" t="str">
        <f t="shared" ref="O8:O42" si="3">IFERROR(N8/J8,"")</f>
        <v/>
      </c>
      <c r="P8" s="68">
        <f>Q8*C8</f>
        <v>12</v>
      </c>
      <c r="Q8" s="68">
        <f>IF(R8=0,0.0001,IFERROR(R8/$L$2,0.0001))</f>
        <v>109.09090909090909</v>
      </c>
      <c r="R8" s="66">
        <v>1200</v>
      </c>
      <c r="S8" s="66">
        <f>R8*$M$1</f>
        <v>3000</v>
      </c>
      <c r="T8" s="67">
        <f>IFERROR(U8/S8,0)</f>
        <v>0</v>
      </c>
      <c r="U8" s="26">
        <f>IF($BG$3="да", BM8, I8-SUM(V8:AZ8))</f>
        <v>0</v>
      </c>
      <c r="V8" s="153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311">
        <f ca="1">SUMIFS(V8:AZ8,$V$6:$AZ$6,"ф")</f>
        <v>0</v>
      </c>
      <c r="BB8" s="312">
        <f ca="1">SUMIFS(V8:AZ8,$V$6:$AZ$6,"пл")</f>
        <v>0</v>
      </c>
      <c r="BD8" s="61">
        <f>IFERROR(SUM(D8:F8)/$L$4,0)</f>
        <v>0</v>
      </c>
      <c r="BE8" s="214"/>
      <c r="BF8" s="305">
        <f ca="1">IFERROR(BE8/$BE$2,0)</f>
        <v>0</v>
      </c>
      <c r="BG8" s="217"/>
      <c r="BH8" s="215">
        <f t="shared" ref="BH8:BH9" ca="1" si="4">IFERROR(BG8/BF8,0)</f>
        <v>0</v>
      </c>
      <c r="BI8" s="61">
        <f t="shared" ref="BI8:BI19" si="5">H8</f>
        <v>0</v>
      </c>
      <c r="BJ8" s="218">
        <f ca="1">IF(BF8*$BE$3-BG8+BI8&lt;0,0,BF8*$BE$3-BG8+BI8)</f>
        <v>0</v>
      </c>
      <c r="BK8" s="216">
        <f ca="1">IFERROR(BJ8/$BE$3,0)</f>
        <v>0</v>
      </c>
      <c r="BL8" s="219">
        <f ca="1">SUMIFS(V8:AZ8,$V$6:$AZ$6,"пл")</f>
        <v>0</v>
      </c>
      <c r="BM8" s="220">
        <f ca="1">IF(BJ8&lt;0,BL8*-1, BJ8-BL8)</f>
        <v>0</v>
      </c>
      <c r="BN8" s="221">
        <f ca="1">IFERROR(ROUND(BF8*($BE$3+$BE$2)-SUM(D8:F8), 1),0)</f>
        <v>0</v>
      </c>
    </row>
    <row r="9" spans="1:83" s="6" customFormat="1" x14ac:dyDescent="0.25">
      <c r="A9" s="376" t="s">
        <v>14</v>
      </c>
      <c r="B9" s="370" t="s">
        <v>389</v>
      </c>
      <c r="C9" s="386">
        <v>0.1</v>
      </c>
      <c r="D9" s="93"/>
      <c r="E9" s="93"/>
      <c r="F9" s="93"/>
      <c r="G9" s="394"/>
      <c r="H9" s="191"/>
      <c r="I9" s="88">
        <f t="shared" ref="I9:I41" si="6">IF($BG$3="да",BA9+BB9,IF((SUM(D9:F9)-G9+H9)&lt;0,0,SUM(D9:F9)-G9+H9))</f>
        <v>0</v>
      </c>
      <c r="J9" s="83">
        <f>C9*I9</f>
        <v>0</v>
      </c>
      <c r="K9" s="34">
        <f t="shared" si="1"/>
        <v>0</v>
      </c>
      <c r="L9" s="5">
        <f t="shared" si="2"/>
        <v>0</v>
      </c>
      <c r="M9" s="61"/>
      <c r="N9" s="70"/>
      <c r="O9" s="71" t="str">
        <f t="shared" si="3"/>
        <v/>
      </c>
      <c r="P9" s="68">
        <f>Q9*C9</f>
        <v>10.90909090909091</v>
      </c>
      <c r="Q9" s="68">
        <f t="shared" ref="Q9:Q41" si="7">IF(R9=0,0.0001,IFERROR(R9/$L$2,0.0001))</f>
        <v>109.09090909090909</v>
      </c>
      <c r="R9" s="66">
        <v>1200</v>
      </c>
      <c r="S9" s="66">
        <f t="shared" ref="S9:S41" si="8">R9*$M$1</f>
        <v>3000</v>
      </c>
      <c r="T9" s="67">
        <f t="shared" ref="T9:T41" si="9">IFERROR(U9/S9,0)</f>
        <v>0</v>
      </c>
      <c r="U9" s="26">
        <f>IF($BG$3="да", BM9, I9-SUM(V9:AZ9))</f>
        <v>0</v>
      </c>
      <c r="V9" s="153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311">
        <f t="shared" ref="BA9:BA41" ca="1" si="10">SUMIFS(V9:AZ9,$V$6:$AZ$6,"ф")</f>
        <v>0</v>
      </c>
      <c r="BB9" s="312">
        <f t="shared" ref="BB9:BB41" ca="1" si="11">SUMIFS(V9:AZ9,$V$6:$AZ$6,"пл")</f>
        <v>0</v>
      </c>
      <c r="BD9" s="61">
        <f t="shared" ref="BD9:BD41" si="12">IFERROR(SUM(D9:F9)/$L$4,0)</f>
        <v>0</v>
      </c>
      <c r="BE9" s="214"/>
      <c r="BF9" s="305">
        <f t="shared" ref="BF9:BF41" ca="1" si="13">IFERROR(BE9/$BE$2,0)</f>
        <v>0</v>
      </c>
      <c r="BG9" s="217"/>
      <c r="BH9" s="215">
        <f t="shared" ca="1" si="4"/>
        <v>0</v>
      </c>
      <c r="BI9" s="61">
        <f t="shared" si="5"/>
        <v>0</v>
      </c>
      <c r="BJ9" s="218">
        <f t="shared" ref="BJ9:BJ41" ca="1" si="14">IF(BF9*$BE$3-BG9+BI9&lt;0,0,BF9*$BE$3-BG9+BI9)</f>
        <v>0</v>
      </c>
      <c r="BK9" s="216">
        <f ca="1">IFERROR(BJ9/$BE$3,0)</f>
        <v>0</v>
      </c>
      <c r="BL9" s="219">
        <f ca="1">SUMIFS(V9:AZ9,$V$6:$AZ$6,"пл")</f>
        <v>0</v>
      </c>
      <c r="BM9" s="220">
        <f t="shared" ref="BM9:BM41" ca="1" si="15">IF(BJ9&lt;0,BL9*-1, BJ9-BL9)</f>
        <v>0</v>
      </c>
      <c r="BN9" s="221">
        <f t="shared" ref="BN9:BN41" ca="1" si="16">IFERROR(ROUND(BF9*($BE$3+$BE$2)-SUM(D9:F9), 1),0)</f>
        <v>0</v>
      </c>
    </row>
    <row r="10" spans="1:83" s="6" customFormat="1" x14ac:dyDescent="0.25">
      <c r="A10" s="376" t="s">
        <v>15</v>
      </c>
      <c r="B10" s="370" t="s">
        <v>390</v>
      </c>
      <c r="C10" s="386">
        <v>0.1</v>
      </c>
      <c r="D10" s="93"/>
      <c r="E10" s="93"/>
      <c r="F10" s="93"/>
      <c r="G10" s="394"/>
      <c r="H10" s="191"/>
      <c r="I10" s="88">
        <f t="shared" si="6"/>
        <v>0</v>
      </c>
      <c r="J10" s="83">
        <f>C10*I10</f>
        <v>0</v>
      </c>
      <c r="K10" s="34">
        <f t="shared" si="1"/>
        <v>0</v>
      </c>
      <c r="L10" s="5">
        <f t="shared" si="2"/>
        <v>0</v>
      </c>
      <c r="M10" s="61"/>
      <c r="N10" s="70"/>
      <c r="O10" s="71" t="str">
        <f t="shared" si="3"/>
        <v/>
      </c>
      <c r="P10" s="68">
        <f>Q10*C10</f>
        <v>10.90909090909091</v>
      </c>
      <c r="Q10" s="68">
        <f t="shared" si="7"/>
        <v>109.09090909090909</v>
      </c>
      <c r="R10" s="66">
        <v>1200</v>
      </c>
      <c r="S10" s="66">
        <f t="shared" si="8"/>
        <v>3000</v>
      </c>
      <c r="T10" s="67">
        <f t="shared" si="9"/>
        <v>0</v>
      </c>
      <c r="U10" s="26">
        <f t="shared" ref="U9:U41" si="17">IF($BG$3="да", BM10, I10-SUM(V10:AZ10))</f>
        <v>0</v>
      </c>
      <c r="V10" s="153"/>
      <c r="W10" s="153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311">
        <f t="shared" ca="1" si="10"/>
        <v>0</v>
      </c>
      <c r="BB10" s="312">
        <f t="shared" ca="1" si="11"/>
        <v>0</v>
      </c>
      <c r="BD10" s="61">
        <f t="shared" si="12"/>
        <v>0</v>
      </c>
      <c r="BE10" s="214"/>
      <c r="BF10" s="216">
        <f t="shared" ca="1" si="13"/>
        <v>0</v>
      </c>
      <c r="BG10" s="217"/>
      <c r="BH10" s="215">
        <f ca="1">IFERROR(BG10/BF10,0)</f>
        <v>0</v>
      </c>
      <c r="BI10" s="61">
        <f t="shared" si="5"/>
        <v>0</v>
      </c>
      <c r="BJ10" s="218">
        <f t="shared" ca="1" si="14"/>
        <v>0</v>
      </c>
      <c r="BK10" s="216">
        <f ca="1">IFERROR(BJ10/$BE$3,0)</f>
        <v>0</v>
      </c>
      <c r="BL10" s="219">
        <f ca="1">SUMIFS(V10:AZ10,$V$6:$AZ$6,"пл")</f>
        <v>0</v>
      </c>
      <c r="BM10" s="220">
        <f t="shared" ca="1" si="15"/>
        <v>0</v>
      </c>
      <c r="BN10" s="221">
        <f t="shared" ca="1" si="16"/>
        <v>0</v>
      </c>
    </row>
    <row r="11" spans="1:83" s="6" customFormat="1" x14ac:dyDescent="0.25">
      <c r="A11" s="376" t="s">
        <v>16</v>
      </c>
      <c r="B11" s="370" t="s">
        <v>391</v>
      </c>
      <c r="C11" s="386">
        <v>0.1</v>
      </c>
      <c r="D11" s="93"/>
      <c r="E11" s="93"/>
      <c r="F11" s="93"/>
      <c r="G11" s="394"/>
      <c r="H11" s="191"/>
      <c r="I11" s="88">
        <f t="shared" si="6"/>
        <v>0</v>
      </c>
      <c r="J11" s="83">
        <f>C11*I11</f>
        <v>0</v>
      </c>
      <c r="K11" s="34">
        <f t="shared" si="1"/>
        <v>0</v>
      </c>
      <c r="L11" s="5">
        <f t="shared" si="2"/>
        <v>0</v>
      </c>
      <c r="M11" s="61"/>
      <c r="N11" s="70"/>
      <c r="O11" s="71" t="str">
        <f t="shared" si="3"/>
        <v/>
      </c>
      <c r="P11" s="68">
        <f>Q11*C11</f>
        <v>10.90909090909091</v>
      </c>
      <c r="Q11" s="68">
        <f t="shared" si="7"/>
        <v>109.09090909090909</v>
      </c>
      <c r="R11" s="66">
        <v>1200</v>
      </c>
      <c r="S11" s="66">
        <f t="shared" si="8"/>
        <v>3000</v>
      </c>
      <c r="T11" s="67">
        <f t="shared" si="9"/>
        <v>0</v>
      </c>
      <c r="U11" s="26">
        <f t="shared" si="17"/>
        <v>0</v>
      </c>
      <c r="V11" s="153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311">
        <f t="shared" ca="1" si="10"/>
        <v>0</v>
      </c>
      <c r="BB11" s="312">
        <f t="shared" ca="1" si="11"/>
        <v>0</v>
      </c>
      <c r="BD11" s="61">
        <f t="shared" si="12"/>
        <v>0</v>
      </c>
      <c r="BE11" s="214"/>
      <c r="BF11" s="305">
        <f t="shared" ca="1" si="13"/>
        <v>0</v>
      </c>
      <c r="BG11" s="217"/>
      <c r="BH11" s="215">
        <f t="shared" ref="BH11:BH41" ca="1" si="18">IFERROR(BG11/BF11,0)</f>
        <v>0</v>
      </c>
      <c r="BI11" s="61">
        <f t="shared" si="5"/>
        <v>0</v>
      </c>
      <c r="BJ11" s="218">
        <f t="shared" ca="1" si="14"/>
        <v>0</v>
      </c>
      <c r="BK11" s="216">
        <f ca="1">IFERROR(BJ11/$BE$3,0)</f>
        <v>0</v>
      </c>
      <c r="BL11" s="219">
        <f ca="1">SUMIFS(V11:AZ11,$V$6:$AZ$6,"пл")</f>
        <v>0</v>
      </c>
      <c r="BM11" s="220">
        <f t="shared" ca="1" si="15"/>
        <v>0</v>
      </c>
      <c r="BN11" s="221">
        <f t="shared" ca="1" si="16"/>
        <v>0</v>
      </c>
    </row>
    <row r="12" spans="1:83" s="6" customFormat="1" x14ac:dyDescent="0.25">
      <c r="A12" s="376" t="s">
        <v>17</v>
      </c>
      <c r="B12" s="370" t="s">
        <v>392</v>
      </c>
      <c r="C12" s="386">
        <v>0.1</v>
      </c>
      <c r="D12" s="93"/>
      <c r="E12" s="93"/>
      <c r="F12" s="93"/>
      <c r="G12" s="394"/>
      <c r="H12" s="191"/>
      <c r="I12" s="88">
        <f t="shared" si="6"/>
        <v>0</v>
      </c>
      <c r="J12" s="83">
        <f>C12*I12</f>
        <v>0</v>
      </c>
      <c r="K12" s="34">
        <f t="shared" si="1"/>
        <v>0</v>
      </c>
      <c r="L12" s="5">
        <f t="shared" si="2"/>
        <v>0</v>
      </c>
      <c r="M12" s="61"/>
      <c r="N12" s="70"/>
      <c r="O12" s="71" t="str">
        <f t="shared" si="3"/>
        <v/>
      </c>
      <c r="P12" s="68">
        <f>Q12*C12</f>
        <v>10.90909090909091</v>
      </c>
      <c r="Q12" s="68">
        <f t="shared" si="7"/>
        <v>109.09090909090909</v>
      </c>
      <c r="R12" s="66">
        <v>1200</v>
      </c>
      <c r="S12" s="66">
        <f t="shared" si="8"/>
        <v>3000</v>
      </c>
      <c r="T12" s="67">
        <f t="shared" si="9"/>
        <v>0</v>
      </c>
      <c r="U12" s="26">
        <f t="shared" si="17"/>
        <v>0</v>
      </c>
      <c r="V12" s="153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311">
        <f t="shared" ca="1" si="10"/>
        <v>0</v>
      </c>
      <c r="BB12" s="312">
        <f t="shared" ca="1" si="11"/>
        <v>0</v>
      </c>
      <c r="BD12" s="61">
        <f t="shared" si="12"/>
        <v>0</v>
      </c>
      <c r="BE12" s="214"/>
      <c r="BF12" s="305">
        <f t="shared" ca="1" si="13"/>
        <v>0</v>
      </c>
      <c r="BG12" s="217"/>
      <c r="BH12" s="215">
        <f t="shared" ca="1" si="18"/>
        <v>0</v>
      </c>
      <c r="BI12" s="61">
        <f t="shared" si="5"/>
        <v>0</v>
      </c>
      <c r="BJ12" s="218">
        <f t="shared" ca="1" si="14"/>
        <v>0</v>
      </c>
      <c r="BK12" s="216">
        <f ca="1">IFERROR(BJ12/$BE$3,0)</f>
        <v>0</v>
      </c>
      <c r="BL12" s="219">
        <f ca="1">SUMIFS(V12:AZ12,$V$6:$AZ$6,"пл")</f>
        <v>0</v>
      </c>
      <c r="BM12" s="220">
        <f t="shared" ca="1" si="15"/>
        <v>0</v>
      </c>
      <c r="BN12" s="221">
        <f t="shared" ca="1" si="16"/>
        <v>0</v>
      </c>
    </row>
    <row r="13" spans="1:83" s="6" customFormat="1" x14ac:dyDescent="0.25">
      <c r="A13" s="376" t="s">
        <v>18</v>
      </c>
      <c r="B13" s="370" t="s">
        <v>393</v>
      </c>
      <c r="C13" s="386">
        <v>0.1</v>
      </c>
      <c r="D13" s="93"/>
      <c r="E13" s="93"/>
      <c r="F13" s="93"/>
      <c r="G13" s="394"/>
      <c r="H13" s="191"/>
      <c r="I13" s="88">
        <f t="shared" si="6"/>
        <v>0</v>
      </c>
      <c r="J13" s="83">
        <f>C13*I13</f>
        <v>0</v>
      </c>
      <c r="K13" s="34">
        <f t="shared" si="1"/>
        <v>0</v>
      </c>
      <c r="L13" s="5">
        <f t="shared" si="2"/>
        <v>0</v>
      </c>
      <c r="M13" s="61"/>
      <c r="N13" s="70"/>
      <c r="O13" s="71" t="str">
        <f t="shared" si="3"/>
        <v/>
      </c>
      <c r="P13" s="68">
        <f>Q13*C13</f>
        <v>9.0909090909090917</v>
      </c>
      <c r="Q13" s="68">
        <f t="shared" si="7"/>
        <v>90.909090909090907</v>
      </c>
      <c r="R13" s="66">
        <v>1000</v>
      </c>
      <c r="S13" s="66">
        <f t="shared" si="8"/>
        <v>2500</v>
      </c>
      <c r="T13" s="67">
        <f t="shared" si="9"/>
        <v>0</v>
      </c>
      <c r="U13" s="26">
        <f t="shared" si="17"/>
        <v>0</v>
      </c>
      <c r="V13" s="153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311">
        <f t="shared" ca="1" si="10"/>
        <v>0</v>
      </c>
      <c r="BB13" s="312">
        <f t="shared" ca="1" si="11"/>
        <v>0</v>
      </c>
      <c r="BD13" s="61">
        <f t="shared" si="12"/>
        <v>0</v>
      </c>
      <c r="BE13" s="214"/>
      <c r="BF13" s="305">
        <f t="shared" ca="1" si="13"/>
        <v>0</v>
      </c>
      <c r="BG13" s="217"/>
      <c r="BH13" s="215">
        <f t="shared" ca="1" si="18"/>
        <v>0</v>
      </c>
      <c r="BI13" s="61">
        <f t="shared" si="5"/>
        <v>0</v>
      </c>
      <c r="BJ13" s="218">
        <f t="shared" ca="1" si="14"/>
        <v>0</v>
      </c>
      <c r="BK13" s="216">
        <f ca="1">IFERROR(BJ13/$BE$3,0)</f>
        <v>0</v>
      </c>
      <c r="BL13" s="219">
        <f ca="1">SUMIFS(V13:AZ13,$V$6:$AZ$6,"пл")</f>
        <v>0</v>
      </c>
      <c r="BM13" s="220">
        <f t="shared" ca="1" si="15"/>
        <v>0</v>
      </c>
      <c r="BN13" s="221">
        <f t="shared" ca="1" si="16"/>
        <v>0</v>
      </c>
    </row>
    <row r="14" spans="1:83" s="6" customFormat="1" x14ac:dyDescent="0.25">
      <c r="A14" s="376" t="s">
        <v>19</v>
      </c>
      <c r="B14" s="370" t="s">
        <v>394</v>
      </c>
      <c r="C14" s="386">
        <v>8.5000000000000006E-2</v>
      </c>
      <c r="D14" s="93"/>
      <c r="E14" s="93"/>
      <c r="F14" s="93"/>
      <c r="G14" s="394"/>
      <c r="H14" s="191"/>
      <c r="I14" s="88">
        <f t="shared" si="6"/>
        <v>0</v>
      </c>
      <c r="J14" s="83">
        <f>C14*I14</f>
        <v>0</v>
      </c>
      <c r="K14" s="34">
        <f t="shared" si="1"/>
        <v>0</v>
      </c>
      <c r="L14" s="5">
        <f t="shared" si="2"/>
        <v>0</v>
      </c>
      <c r="M14" s="61"/>
      <c r="N14" s="70"/>
      <c r="O14" s="71" t="str">
        <f t="shared" si="3"/>
        <v/>
      </c>
      <c r="P14" s="68">
        <f>Q14*C14</f>
        <v>10.045454545454547</v>
      </c>
      <c r="Q14" s="68">
        <f t="shared" si="7"/>
        <v>118.18181818181819</v>
      </c>
      <c r="R14" s="66">
        <v>1300</v>
      </c>
      <c r="S14" s="66">
        <f t="shared" si="8"/>
        <v>3250</v>
      </c>
      <c r="T14" s="67">
        <f t="shared" si="9"/>
        <v>0</v>
      </c>
      <c r="U14" s="26">
        <f t="shared" si="17"/>
        <v>0</v>
      </c>
      <c r="V14" s="153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311">
        <f t="shared" ca="1" si="10"/>
        <v>0</v>
      </c>
      <c r="BB14" s="312">
        <f t="shared" ca="1" si="11"/>
        <v>0</v>
      </c>
      <c r="BD14" s="61">
        <f t="shared" si="12"/>
        <v>0</v>
      </c>
      <c r="BE14" s="214"/>
      <c r="BF14" s="305">
        <f t="shared" ca="1" si="13"/>
        <v>0</v>
      </c>
      <c r="BG14" s="217"/>
      <c r="BH14" s="215">
        <f t="shared" ca="1" si="18"/>
        <v>0</v>
      </c>
      <c r="BI14" s="61">
        <f t="shared" si="5"/>
        <v>0</v>
      </c>
      <c r="BJ14" s="218">
        <f t="shared" ca="1" si="14"/>
        <v>0</v>
      </c>
      <c r="BK14" s="216">
        <f ca="1">IFERROR(BJ14/$BE$3,0)</f>
        <v>0</v>
      </c>
      <c r="BL14" s="219">
        <f ca="1">SUMIFS(V14:AZ14,$V$6:$AZ$6,"пл")</f>
        <v>0</v>
      </c>
      <c r="BM14" s="220">
        <f t="shared" ca="1" si="15"/>
        <v>0</v>
      </c>
      <c r="BN14" s="221">
        <f t="shared" ca="1" si="16"/>
        <v>0</v>
      </c>
    </row>
    <row r="15" spans="1:83" s="6" customFormat="1" x14ac:dyDescent="0.25">
      <c r="A15" s="377" t="s">
        <v>20</v>
      </c>
      <c r="B15" s="370" t="s">
        <v>395</v>
      </c>
      <c r="C15" s="386">
        <v>0.08</v>
      </c>
      <c r="D15" s="93"/>
      <c r="E15" s="93"/>
      <c r="F15" s="93"/>
      <c r="G15" s="394"/>
      <c r="H15" s="191"/>
      <c r="I15" s="88">
        <f t="shared" si="6"/>
        <v>0</v>
      </c>
      <c r="J15" s="83">
        <f>C15*I15</f>
        <v>0</v>
      </c>
      <c r="K15" s="34">
        <f t="shared" si="1"/>
        <v>0</v>
      </c>
      <c r="L15" s="5">
        <f t="shared" si="2"/>
        <v>0</v>
      </c>
      <c r="M15" s="61"/>
      <c r="N15" s="70"/>
      <c r="O15" s="71" t="str">
        <f t="shared" si="3"/>
        <v/>
      </c>
      <c r="P15" s="68">
        <f>Q15*C15</f>
        <v>8.7272727272727284</v>
      </c>
      <c r="Q15" s="68">
        <f t="shared" si="7"/>
        <v>109.09090909090909</v>
      </c>
      <c r="R15" s="66">
        <v>1200</v>
      </c>
      <c r="S15" s="66">
        <f t="shared" si="8"/>
        <v>3000</v>
      </c>
      <c r="T15" s="67">
        <f t="shared" si="9"/>
        <v>0</v>
      </c>
      <c r="U15" s="26">
        <f t="shared" si="17"/>
        <v>0</v>
      </c>
      <c r="V15" s="153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311">
        <f t="shared" ca="1" si="10"/>
        <v>0</v>
      </c>
      <c r="BB15" s="312">
        <f t="shared" ca="1" si="11"/>
        <v>0</v>
      </c>
      <c r="BD15" s="61">
        <f t="shared" si="12"/>
        <v>0</v>
      </c>
      <c r="BE15" s="214"/>
      <c r="BF15" s="305">
        <f t="shared" ca="1" si="13"/>
        <v>0</v>
      </c>
      <c r="BG15" s="217"/>
      <c r="BH15" s="215">
        <f t="shared" ca="1" si="18"/>
        <v>0</v>
      </c>
      <c r="BI15" s="61">
        <f t="shared" si="5"/>
        <v>0</v>
      </c>
      <c r="BJ15" s="218">
        <f t="shared" ca="1" si="14"/>
        <v>0</v>
      </c>
      <c r="BK15" s="216">
        <f ca="1">IFERROR(BJ15/$BE$3,0)</f>
        <v>0</v>
      </c>
      <c r="BL15" s="219">
        <f ca="1">SUMIFS(V15:AZ15,$V$6:$AZ$6,"пл")</f>
        <v>0</v>
      </c>
      <c r="BM15" s="220">
        <f t="shared" ca="1" si="15"/>
        <v>0</v>
      </c>
      <c r="BN15" s="221">
        <f t="shared" ca="1" si="16"/>
        <v>0</v>
      </c>
    </row>
    <row r="16" spans="1:83" s="6" customFormat="1" x14ac:dyDescent="0.25">
      <c r="A16" s="377" t="s">
        <v>21</v>
      </c>
      <c r="B16" s="370" t="s">
        <v>396</v>
      </c>
      <c r="C16" s="386">
        <v>0.08</v>
      </c>
      <c r="D16" s="93"/>
      <c r="E16" s="93"/>
      <c r="F16" s="93"/>
      <c r="G16" s="394"/>
      <c r="H16" s="191"/>
      <c r="I16" s="88">
        <f t="shared" si="6"/>
        <v>0</v>
      </c>
      <c r="J16" s="83">
        <f>C16*I16</f>
        <v>0</v>
      </c>
      <c r="K16" s="34">
        <f t="shared" si="1"/>
        <v>0</v>
      </c>
      <c r="L16" s="5">
        <f t="shared" si="2"/>
        <v>0</v>
      </c>
      <c r="M16" s="61"/>
      <c r="N16" s="70"/>
      <c r="O16" s="71" t="str">
        <f t="shared" si="3"/>
        <v/>
      </c>
      <c r="P16" s="68">
        <f>Q16*C16</f>
        <v>10.181818181818182</v>
      </c>
      <c r="Q16" s="68">
        <f t="shared" si="7"/>
        <v>127.27272727272727</v>
      </c>
      <c r="R16" s="66">
        <v>1400</v>
      </c>
      <c r="S16" s="66">
        <f t="shared" si="8"/>
        <v>3500</v>
      </c>
      <c r="T16" s="67">
        <f t="shared" si="9"/>
        <v>0</v>
      </c>
      <c r="U16" s="26">
        <f t="shared" si="17"/>
        <v>0</v>
      </c>
      <c r="V16" s="153"/>
      <c r="W16" s="153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311">
        <f t="shared" ca="1" si="10"/>
        <v>0</v>
      </c>
      <c r="BB16" s="312">
        <f t="shared" ca="1" si="11"/>
        <v>0</v>
      </c>
      <c r="BD16" s="61">
        <f t="shared" si="12"/>
        <v>0</v>
      </c>
      <c r="BE16" s="214"/>
      <c r="BF16" s="305">
        <f t="shared" ca="1" si="13"/>
        <v>0</v>
      </c>
      <c r="BG16" s="217"/>
      <c r="BH16" s="215">
        <f t="shared" ca="1" si="18"/>
        <v>0</v>
      </c>
      <c r="BI16" s="61">
        <f t="shared" si="5"/>
        <v>0</v>
      </c>
      <c r="BJ16" s="218">
        <f t="shared" ca="1" si="14"/>
        <v>0</v>
      </c>
      <c r="BK16" s="216">
        <f ca="1">IFERROR(BJ16/$BE$3,0)</f>
        <v>0</v>
      </c>
      <c r="BL16" s="219">
        <f ca="1">SUMIFS(V16:AZ16,$V$6:$AZ$6,"пл")</f>
        <v>0</v>
      </c>
      <c r="BM16" s="220">
        <f t="shared" ca="1" si="15"/>
        <v>0</v>
      </c>
      <c r="BN16" s="221">
        <f t="shared" ca="1" si="16"/>
        <v>0</v>
      </c>
    </row>
    <row r="17" spans="1:66" s="6" customFormat="1" x14ac:dyDescent="0.25">
      <c r="A17" s="377" t="s">
        <v>22</v>
      </c>
      <c r="B17" s="370" t="s">
        <v>397</v>
      </c>
      <c r="C17" s="386">
        <v>0.08</v>
      </c>
      <c r="D17" s="93"/>
      <c r="E17" s="93"/>
      <c r="F17" s="93"/>
      <c r="G17" s="394"/>
      <c r="H17" s="191"/>
      <c r="I17" s="88">
        <f t="shared" si="6"/>
        <v>0</v>
      </c>
      <c r="J17" s="83">
        <f>C17*I17</f>
        <v>0</v>
      </c>
      <c r="K17" s="34">
        <f t="shared" si="1"/>
        <v>0</v>
      </c>
      <c r="L17" s="5">
        <f t="shared" si="2"/>
        <v>0</v>
      </c>
      <c r="M17" s="61"/>
      <c r="N17" s="70"/>
      <c r="O17" s="71" t="str">
        <f t="shared" si="3"/>
        <v/>
      </c>
      <c r="P17" s="68">
        <f>Q17*C17</f>
        <v>10.181818181818182</v>
      </c>
      <c r="Q17" s="68">
        <f t="shared" si="7"/>
        <v>127.27272727272727</v>
      </c>
      <c r="R17" s="66">
        <v>1400</v>
      </c>
      <c r="S17" s="66">
        <f t="shared" si="8"/>
        <v>3500</v>
      </c>
      <c r="T17" s="67">
        <f t="shared" si="9"/>
        <v>0</v>
      </c>
      <c r="U17" s="26">
        <f t="shared" si="17"/>
        <v>0</v>
      </c>
      <c r="V17" s="153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311">
        <f t="shared" ca="1" si="10"/>
        <v>0</v>
      </c>
      <c r="BB17" s="312">
        <f t="shared" ca="1" si="11"/>
        <v>0</v>
      </c>
      <c r="BD17" s="61">
        <f t="shared" si="12"/>
        <v>0</v>
      </c>
      <c r="BE17" s="214"/>
      <c r="BF17" s="305">
        <f t="shared" ca="1" si="13"/>
        <v>0</v>
      </c>
      <c r="BG17" s="217"/>
      <c r="BH17" s="215">
        <f t="shared" ca="1" si="18"/>
        <v>0</v>
      </c>
      <c r="BI17" s="61">
        <f t="shared" si="5"/>
        <v>0</v>
      </c>
      <c r="BJ17" s="218">
        <f t="shared" ca="1" si="14"/>
        <v>0</v>
      </c>
      <c r="BK17" s="216">
        <f ca="1">IFERROR(BJ17/$BE$3,0)</f>
        <v>0</v>
      </c>
      <c r="BL17" s="219">
        <f ca="1">SUMIFS(V17:AZ17,$V$6:$AZ$6,"пл")</f>
        <v>0</v>
      </c>
      <c r="BM17" s="220">
        <f t="shared" ca="1" si="15"/>
        <v>0</v>
      </c>
      <c r="BN17" s="221">
        <f t="shared" ca="1" si="16"/>
        <v>0</v>
      </c>
    </row>
    <row r="18" spans="1:66" s="6" customFormat="1" x14ac:dyDescent="0.25">
      <c r="A18" s="377" t="s">
        <v>23</v>
      </c>
      <c r="B18" s="370" t="s">
        <v>398</v>
      </c>
      <c r="C18" s="386">
        <v>8.5000000000000006E-2</v>
      </c>
      <c r="D18" s="93"/>
      <c r="E18" s="93"/>
      <c r="F18" s="93"/>
      <c r="G18" s="394"/>
      <c r="H18" s="191"/>
      <c r="I18" s="88">
        <f t="shared" si="6"/>
        <v>0</v>
      </c>
      <c r="J18" s="83">
        <f>C18*I18</f>
        <v>0</v>
      </c>
      <c r="K18" s="34">
        <f t="shared" si="1"/>
        <v>0</v>
      </c>
      <c r="L18" s="5">
        <f t="shared" si="2"/>
        <v>0</v>
      </c>
      <c r="M18" s="61"/>
      <c r="N18" s="70"/>
      <c r="O18" s="71" t="str">
        <f t="shared" si="3"/>
        <v/>
      </c>
      <c r="P18" s="68">
        <f>Q18*C18</f>
        <v>10.818181818181818</v>
      </c>
      <c r="Q18" s="68">
        <f t="shared" si="7"/>
        <v>127.27272727272727</v>
      </c>
      <c r="R18" s="66">
        <v>1400</v>
      </c>
      <c r="S18" s="66">
        <f t="shared" si="8"/>
        <v>3500</v>
      </c>
      <c r="T18" s="67">
        <f t="shared" si="9"/>
        <v>0</v>
      </c>
      <c r="U18" s="26">
        <f t="shared" si="17"/>
        <v>0</v>
      </c>
      <c r="V18" s="153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311">
        <f t="shared" ca="1" si="10"/>
        <v>0</v>
      </c>
      <c r="BB18" s="312">
        <f t="shared" ca="1" si="11"/>
        <v>0</v>
      </c>
      <c r="BD18" s="61">
        <f t="shared" si="12"/>
        <v>0</v>
      </c>
      <c r="BE18" s="214"/>
      <c r="BF18" s="305">
        <f t="shared" ca="1" si="13"/>
        <v>0</v>
      </c>
      <c r="BG18" s="217"/>
      <c r="BH18" s="215">
        <f t="shared" ca="1" si="18"/>
        <v>0</v>
      </c>
      <c r="BI18" s="61">
        <f t="shared" si="5"/>
        <v>0</v>
      </c>
      <c r="BJ18" s="218">
        <f t="shared" ca="1" si="14"/>
        <v>0</v>
      </c>
      <c r="BK18" s="216">
        <f ca="1">IFERROR(BJ18/$BE$3,0)</f>
        <v>0</v>
      </c>
      <c r="BL18" s="219">
        <f ca="1">SUMIFS(V18:AZ18,$V$6:$AZ$6,"пл")</f>
        <v>0</v>
      </c>
      <c r="BM18" s="220">
        <f t="shared" ca="1" si="15"/>
        <v>0</v>
      </c>
      <c r="BN18" s="221">
        <f t="shared" ca="1" si="16"/>
        <v>0</v>
      </c>
    </row>
    <row r="19" spans="1:66" s="6" customFormat="1" x14ac:dyDescent="0.25">
      <c r="A19" s="362"/>
      <c r="B19" s="370"/>
      <c r="C19" s="387"/>
      <c r="D19" s="94"/>
      <c r="E19" s="94"/>
      <c r="F19" s="94"/>
      <c r="G19" s="394"/>
      <c r="H19" s="191"/>
      <c r="I19" s="88">
        <f t="shared" si="6"/>
        <v>0</v>
      </c>
      <c r="J19" s="84">
        <f>C19*I19</f>
        <v>0</v>
      </c>
      <c r="K19" s="35">
        <f t="shared" si="1"/>
        <v>0</v>
      </c>
      <c r="L19" s="7">
        <f t="shared" si="2"/>
        <v>0</v>
      </c>
      <c r="M19" s="62"/>
      <c r="N19" s="70"/>
      <c r="O19" s="71" t="str">
        <f t="shared" si="3"/>
        <v/>
      </c>
      <c r="P19" s="68">
        <f>Q19*C19</f>
        <v>0</v>
      </c>
      <c r="Q19" s="68">
        <f t="shared" si="7"/>
        <v>1E-4</v>
      </c>
      <c r="R19" s="66"/>
      <c r="S19" s="66">
        <f t="shared" si="8"/>
        <v>0</v>
      </c>
      <c r="T19" s="67">
        <f t="shared" si="9"/>
        <v>0</v>
      </c>
      <c r="U19" s="26">
        <f t="shared" si="17"/>
        <v>0</v>
      </c>
      <c r="V19" s="153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311">
        <f t="shared" ca="1" si="10"/>
        <v>0</v>
      </c>
      <c r="BB19" s="312">
        <f t="shared" ca="1" si="11"/>
        <v>0</v>
      </c>
      <c r="BD19" s="61">
        <f t="shared" si="12"/>
        <v>0</v>
      </c>
      <c r="BE19" s="214"/>
      <c r="BF19" s="305">
        <f t="shared" ca="1" si="13"/>
        <v>0</v>
      </c>
      <c r="BG19" s="217"/>
      <c r="BH19" s="215">
        <f t="shared" ca="1" si="18"/>
        <v>0</v>
      </c>
      <c r="BI19" s="61">
        <f t="shared" si="5"/>
        <v>0</v>
      </c>
      <c r="BJ19" s="218">
        <f t="shared" ca="1" si="14"/>
        <v>0</v>
      </c>
      <c r="BK19" s="216">
        <f ca="1">IFERROR(BJ19/$BE$3,0)</f>
        <v>0</v>
      </c>
      <c r="BL19" s="219">
        <f ca="1">SUMIFS(V19:AZ19,$V$6:$AZ$6,"пл")</f>
        <v>0</v>
      </c>
      <c r="BM19" s="220">
        <f t="shared" ca="1" si="15"/>
        <v>0</v>
      </c>
      <c r="BN19" s="221">
        <f t="shared" ca="1" si="16"/>
        <v>0</v>
      </c>
    </row>
    <row r="20" spans="1:66" s="6" customFormat="1" x14ac:dyDescent="0.25">
      <c r="A20" s="378"/>
      <c r="B20" s="370"/>
      <c r="C20" s="386"/>
      <c r="D20" s="93"/>
      <c r="E20" s="93"/>
      <c r="F20" s="93"/>
      <c r="G20" s="394"/>
      <c r="H20" s="191"/>
      <c r="I20" s="88">
        <f t="shared" si="6"/>
        <v>0</v>
      </c>
      <c r="J20" s="83">
        <f>C20*I20</f>
        <v>0</v>
      </c>
      <c r="K20" s="34">
        <f t="shared" si="1"/>
        <v>0</v>
      </c>
      <c r="L20" s="5">
        <f t="shared" si="2"/>
        <v>0</v>
      </c>
      <c r="M20" s="61"/>
      <c r="N20" s="70"/>
      <c r="O20" s="71" t="str">
        <f t="shared" si="3"/>
        <v/>
      </c>
      <c r="P20" s="68">
        <f>Q20*C20</f>
        <v>0</v>
      </c>
      <c r="Q20" s="68">
        <f t="shared" si="7"/>
        <v>1E-4</v>
      </c>
      <c r="R20" s="66"/>
      <c r="S20" s="66">
        <f t="shared" si="8"/>
        <v>0</v>
      </c>
      <c r="T20" s="67">
        <f t="shared" si="9"/>
        <v>0</v>
      </c>
      <c r="U20" s="26">
        <f t="shared" si="17"/>
        <v>0</v>
      </c>
      <c r="V20" s="153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311">
        <f t="shared" ca="1" si="10"/>
        <v>0</v>
      </c>
      <c r="BB20" s="312">
        <f t="shared" ca="1" si="11"/>
        <v>0</v>
      </c>
      <c r="BD20" s="61">
        <f t="shared" si="12"/>
        <v>0</v>
      </c>
      <c r="BE20" s="214"/>
      <c r="BF20" s="305">
        <f t="shared" ca="1" si="13"/>
        <v>0</v>
      </c>
      <c r="BG20" s="217"/>
      <c r="BH20" s="215">
        <f t="shared" ca="1" si="18"/>
        <v>0</v>
      </c>
      <c r="BI20" s="61">
        <f>H20</f>
        <v>0</v>
      </c>
      <c r="BJ20" s="218">
        <f t="shared" ca="1" si="14"/>
        <v>0</v>
      </c>
      <c r="BK20" s="216">
        <f ca="1">IFERROR(BJ20/$BE$3,0)</f>
        <v>0</v>
      </c>
      <c r="BL20" s="219">
        <f ca="1">SUMIFS(V20:AZ20,$V$6:$AZ$6,"пл")</f>
        <v>0</v>
      </c>
      <c r="BM20" s="220">
        <f t="shared" ca="1" si="15"/>
        <v>0</v>
      </c>
      <c r="BN20" s="221">
        <f t="shared" ca="1" si="16"/>
        <v>0</v>
      </c>
    </row>
    <row r="21" spans="1:66" s="6" customFormat="1" x14ac:dyDescent="0.25">
      <c r="A21" s="378" t="s">
        <v>24</v>
      </c>
      <c r="B21" s="370" t="s">
        <v>399</v>
      </c>
      <c r="C21" s="386">
        <v>1</v>
      </c>
      <c r="D21" s="93"/>
      <c r="E21" s="93"/>
      <c r="F21" s="93"/>
      <c r="G21" s="394"/>
      <c r="H21" s="191"/>
      <c r="I21" s="88">
        <f t="shared" si="6"/>
        <v>0</v>
      </c>
      <c r="J21" s="83">
        <f>C21*I21</f>
        <v>0</v>
      </c>
      <c r="K21" s="34">
        <f t="shared" si="1"/>
        <v>0</v>
      </c>
      <c r="L21" s="5">
        <f t="shared" si="2"/>
        <v>0</v>
      </c>
      <c r="M21" s="61"/>
      <c r="N21" s="70"/>
      <c r="O21" s="71" t="str">
        <f t="shared" si="3"/>
        <v/>
      </c>
      <c r="P21" s="68">
        <f>Q21*C21</f>
        <v>22.727272727272727</v>
      </c>
      <c r="Q21" s="68">
        <f t="shared" si="7"/>
        <v>22.727272727272727</v>
      </c>
      <c r="R21" s="66">
        <v>250</v>
      </c>
      <c r="S21" s="66">
        <f t="shared" si="8"/>
        <v>625</v>
      </c>
      <c r="T21" s="67">
        <f t="shared" si="9"/>
        <v>0</v>
      </c>
      <c r="U21" s="26">
        <f t="shared" si="17"/>
        <v>0</v>
      </c>
      <c r="V21" s="153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326">
        <f t="shared" ca="1" si="10"/>
        <v>0</v>
      </c>
      <c r="BB21" s="327">
        <f t="shared" ca="1" si="11"/>
        <v>0</v>
      </c>
      <c r="BD21" s="61">
        <f t="shared" si="12"/>
        <v>0</v>
      </c>
      <c r="BE21" s="214"/>
      <c r="BF21" s="305">
        <f t="shared" ca="1" si="13"/>
        <v>0</v>
      </c>
      <c r="BG21" s="217"/>
      <c r="BH21" s="215">
        <f t="shared" ca="1" si="18"/>
        <v>0</v>
      </c>
      <c r="BI21" s="61">
        <f t="shared" ref="BI21:BI24" si="19">H21</f>
        <v>0</v>
      </c>
      <c r="BJ21" s="218">
        <f t="shared" ca="1" si="14"/>
        <v>0</v>
      </c>
      <c r="BK21" s="216">
        <f ca="1">IFERROR(BJ21/$BE$3,0)</f>
        <v>0</v>
      </c>
      <c r="BL21" s="219">
        <f ca="1">SUMIFS(V21:AZ21,$V$6:$AZ$6,"пл")</f>
        <v>0</v>
      </c>
      <c r="BM21" s="220">
        <f t="shared" ca="1" si="15"/>
        <v>0</v>
      </c>
      <c r="BN21" s="221">
        <f t="shared" ca="1" si="16"/>
        <v>0</v>
      </c>
    </row>
    <row r="22" spans="1:66" s="6" customFormat="1" x14ac:dyDescent="0.25">
      <c r="A22" s="379" t="s">
        <v>25</v>
      </c>
      <c r="B22" s="370" t="s">
        <v>400</v>
      </c>
      <c r="C22" s="386">
        <v>0.19</v>
      </c>
      <c r="D22" s="93"/>
      <c r="E22" s="93"/>
      <c r="F22" s="93"/>
      <c r="G22" s="394"/>
      <c r="H22" s="191"/>
      <c r="I22" s="88">
        <f t="shared" si="6"/>
        <v>0</v>
      </c>
      <c r="J22" s="83">
        <f>C22*I22</f>
        <v>0</v>
      </c>
      <c r="K22" s="34">
        <f t="shared" si="1"/>
        <v>0</v>
      </c>
      <c r="L22" s="5">
        <f t="shared" si="2"/>
        <v>0</v>
      </c>
      <c r="M22" s="61"/>
      <c r="N22" s="70"/>
      <c r="O22" s="71" t="str">
        <f t="shared" si="3"/>
        <v/>
      </c>
      <c r="P22" s="68">
        <f>Q22*C22</f>
        <v>1.5545454545454545</v>
      </c>
      <c r="Q22" s="68">
        <f t="shared" si="7"/>
        <v>8.1818181818181817</v>
      </c>
      <c r="R22" s="66">
        <v>90</v>
      </c>
      <c r="S22" s="66">
        <f t="shared" si="8"/>
        <v>225</v>
      </c>
      <c r="T22" s="67">
        <f t="shared" si="9"/>
        <v>0</v>
      </c>
      <c r="U22" s="26">
        <f t="shared" si="17"/>
        <v>0</v>
      </c>
      <c r="V22" s="153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326">
        <f t="shared" ca="1" si="10"/>
        <v>0</v>
      </c>
      <c r="BB22" s="327">
        <f t="shared" ca="1" si="11"/>
        <v>0</v>
      </c>
      <c r="BD22" s="61">
        <f t="shared" si="12"/>
        <v>0</v>
      </c>
      <c r="BE22" s="214"/>
      <c r="BF22" s="305">
        <f t="shared" ca="1" si="13"/>
        <v>0</v>
      </c>
      <c r="BG22" s="217"/>
      <c r="BH22" s="215">
        <f t="shared" ca="1" si="18"/>
        <v>0</v>
      </c>
      <c r="BI22" s="61">
        <f t="shared" si="19"/>
        <v>0</v>
      </c>
      <c r="BJ22" s="218">
        <f t="shared" ca="1" si="14"/>
        <v>0</v>
      </c>
      <c r="BK22" s="216">
        <f ca="1">IFERROR(BJ22/$BE$3,0)</f>
        <v>0</v>
      </c>
      <c r="BL22" s="219">
        <f ca="1">SUMIFS(V22:AZ22,$V$6:$AZ$6,"пл")</f>
        <v>0</v>
      </c>
      <c r="BM22" s="220">
        <f t="shared" ca="1" si="15"/>
        <v>0</v>
      </c>
      <c r="BN22" s="221">
        <f t="shared" ca="1" si="16"/>
        <v>0</v>
      </c>
    </row>
    <row r="23" spans="1:66" s="6" customFormat="1" x14ac:dyDescent="0.25">
      <c r="A23" s="379" t="s">
        <v>26</v>
      </c>
      <c r="B23" s="370" t="s">
        <v>401</v>
      </c>
      <c r="C23" s="386">
        <v>0.19</v>
      </c>
      <c r="D23" s="93"/>
      <c r="E23" s="93"/>
      <c r="F23" s="93"/>
      <c r="G23" s="394"/>
      <c r="H23" s="191"/>
      <c r="I23" s="88">
        <f t="shared" si="6"/>
        <v>0</v>
      </c>
      <c r="J23" s="83">
        <f>C23*I23</f>
        <v>0</v>
      </c>
      <c r="K23" s="34">
        <f t="shared" si="1"/>
        <v>0</v>
      </c>
      <c r="L23" s="5">
        <f t="shared" si="2"/>
        <v>0</v>
      </c>
      <c r="M23" s="61"/>
      <c r="N23" s="70"/>
      <c r="O23" s="71" t="str">
        <f t="shared" si="3"/>
        <v/>
      </c>
      <c r="P23" s="68">
        <f>Q23*C23</f>
        <v>1.5545454545454545</v>
      </c>
      <c r="Q23" s="68">
        <f t="shared" si="7"/>
        <v>8.1818181818181817</v>
      </c>
      <c r="R23" s="66">
        <v>90</v>
      </c>
      <c r="S23" s="66">
        <f t="shared" si="8"/>
        <v>225</v>
      </c>
      <c r="T23" s="67">
        <f t="shared" si="9"/>
        <v>0</v>
      </c>
      <c r="U23" s="26">
        <f t="shared" si="17"/>
        <v>0</v>
      </c>
      <c r="V23" s="153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326">
        <f t="shared" ca="1" si="10"/>
        <v>0</v>
      </c>
      <c r="BB23" s="327">
        <f t="shared" ca="1" si="11"/>
        <v>0</v>
      </c>
      <c r="BD23" s="61">
        <f t="shared" si="12"/>
        <v>0</v>
      </c>
      <c r="BE23" s="214"/>
      <c r="BF23" s="305">
        <f t="shared" ca="1" si="13"/>
        <v>0</v>
      </c>
      <c r="BG23" s="217"/>
      <c r="BH23" s="215">
        <f t="shared" ca="1" si="18"/>
        <v>0</v>
      </c>
      <c r="BI23" s="61">
        <f t="shared" si="19"/>
        <v>0</v>
      </c>
      <c r="BJ23" s="218">
        <f t="shared" ca="1" si="14"/>
        <v>0</v>
      </c>
      <c r="BK23" s="216">
        <f ca="1">IFERROR(BJ23/$BE$3,0)</f>
        <v>0</v>
      </c>
      <c r="BL23" s="219">
        <f ca="1">SUMIFS(V23:AZ23,$V$6:$AZ$6,"пл")</f>
        <v>0</v>
      </c>
      <c r="BM23" s="220">
        <f t="shared" ca="1" si="15"/>
        <v>0</v>
      </c>
      <c r="BN23" s="221">
        <f t="shared" ca="1" si="16"/>
        <v>0</v>
      </c>
    </row>
    <row r="24" spans="1:66" s="6" customFormat="1" x14ac:dyDescent="0.25">
      <c r="A24" s="380" t="s">
        <v>27</v>
      </c>
      <c r="B24" s="370" t="s">
        <v>402</v>
      </c>
      <c r="C24" s="387">
        <v>0.2</v>
      </c>
      <c r="D24" s="93"/>
      <c r="E24" s="93"/>
      <c r="F24" s="93"/>
      <c r="G24" s="394"/>
      <c r="H24" s="191"/>
      <c r="I24" s="88">
        <f t="shared" si="6"/>
        <v>0</v>
      </c>
      <c r="J24" s="83">
        <f>C24*I24</f>
        <v>0</v>
      </c>
      <c r="K24" s="34">
        <f t="shared" si="1"/>
        <v>0</v>
      </c>
      <c r="L24" s="5">
        <f t="shared" si="2"/>
        <v>0</v>
      </c>
      <c r="M24" s="61"/>
      <c r="N24" s="70"/>
      <c r="O24" s="71" t="str">
        <f t="shared" si="3"/>
        <v/>
      </c>
      <c r="P24" s="68">
        <f>Q24*C24</f>
        <v>1.6363636363636365</v>
      </c>
      <c r="Q24" s="68">
        <f t="shared" si="7"/>
        <v>8.1818181818181817</v>
      </c>
      <c r="R24" s="66">
        <v>90</v>
      </c>
      <c r="S24" s="66">
        <f t="shared" si="8"/>
        <v>225</v>
      </c>
      <c r="T24" s="67">
        <f t="shared" si="9"/>
        <v>0</v>
      </c>
      <c r="U24" s="26">
        <f t="shared" si="17"/>
        <v>0</v>
      </c>
      <c r="V24" s="153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326">
        <f t="shared" ca="1" si="10"/>
        <v>0</v>
      </c>
      <c r="BB24" s="327">
        <f t="shared" ca="1" si="11"/>
        <v>0</v>
      </c>
      <c r="BD24" s="61">
        <f t="shared" si="12"/>
        <v>0</v>
      </c>
      <c r="BE24" s="214"/>
      <c r="BF24" s="305">
        <f t="shared" ca="1" si="13"/>
        <v>0</v>
      </c>
      <c r="BG24" s="217"/>
      <c r="BH24" s="215">
        <f t="shared" ca="1" si="18"/>
        <v>0</v>
      </c>
      <c r="BI24" s="61">
        <f t="shared" si="19"/>
        <v>0</v>
      </c>
      <c r="BJ24" s="218">
        <f t="shared" ca="1" si="14"/>
        <v>0</v>
      </c>
      <c r="BK24" s="216">
        <f ca="1">IFERROR(BJ24/$BE$3,0)</f>
        <v>0</v>
      </c>
      <c r="BL24" s="219">
        <f ca="1">SUMIFS(V24:AZ24,$V$6:$AZ$6,"пл")</f>
        <v>0</v>
      </c>
      <c r="BM24" s="220">
        <f t="shared" ca="1" si="15"/>
        <v>0</v>
      </c>
      <c r="BN24" s="221">
        <f t="shared" ca="1" si="16"/>
        <v>0</v>
      </c>
    </row>
    <row r="25" spans="1:66" s="6" customFormat="1" x14ac:dyDescent="0.25">
      <c r="A25" s="378" t="s">
        <v>28</v>
      </c>
      <c r="B25" s="371"/>
      <c r="C25" s="386">
        <v>0.51</v>
      </c>
      <c r="D25" s="93"/>
      <c r="E25" s="93"/>
      <c r="F25" s="93"/>
      <c r="G25" s="394"/>
      <c r="H25" s="191"/>
      <c r="I25" s="88">
        <f t="shared" si="6"/>
        <v>0</v>
      </c>
      <c r="J25" s="83">
        <f>C25*I25</f>
        <v>0</v>
      </c>
      <c r="K25" s="34">
        <f t="shared" si="1"/>
        <v>0</v>
      </c>
      <c r="L25" s="5">
        <f t="shared" si="2"/>
        <v>0</v>
      </c>
      <c r="M25" s="61"/>
      <c r="N25" s="70"/>
      <c r="O25" s="71" t="str">
        <f t="shared" si="3"/>
        <v/>
      </c>
      <c r="P25" s="68">
        <f>Q25*C25</f>
        <v>13.90909090909091</v>
      </c>
      <c r="Q25" s="68">
        <f t="shared" si="7"/>
        <v>27.272727272727273</v>
      </c>
      <c r="R25" s="66">
        <v>300</v>
      </c>
      <c r="S25" s="66">
        <f t="shared" si="8"/>
        <v>750</v>
      </c>
      <c r="T25" s="67">
        <f t="shared" si="9"/>
        <v>0</v>
      </c>
      <c r="U25" s="26">
        <f t="shared" si="17"/>
        <v>0</v>
      </c>
      <c r="V25" s="153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326">
        <f t="shared" ca="1" si="10"/>
        <v>0</v>
      </c>
      <c r="BB25" s="327">
        <f t="shared" ca="1" si="11"/>
        <v>0</v>
      </c>
      <c r="BD25" s="61">
        <f t="shared" si="12"/>
        <v>0</v>
      </c>
      <c r="BE25" s="214"/>
      <c r="BF25" s="305">
        <f t="shared" ca="1" si="13"/>
        <v>0</v>
      </c>
      <c r="BG25" s="217"/>
      <c r="BH25" s="215">
        <f t="shared" ca="1" si="18"/>
        <v>0</v>
      </c>
      <c r="BI25" s="61">
        <f t="shared" ref="BI25:BI41" si="20">H25</f>
        <v>0</v>
      </c>
      <c r="BJ25" s="218">
        <f t="shared" ca="1" si="14"/>
        <v>0</v>
      </c>
      <c r="BK25" s="216">
        <f ca="1">IFERROR(BJ25/$BE$3,0)</f>
        <v>0</v>
      </c>
      <c r="BL25" s="219">
        <f ca="1">SUMIFS(V25:AZ25,$V$6:$AZ$6,"пл")</f>
        <v>0</v>
      </c>
      <c r="BM25" s="220">
        <f t="shared" ca="1" si="15"/>
        <v>0</v>
      </c>
      <c r="BN25" s="221">
        <f t="shared" ca="1" si="16"/>
        <v>0</v>
      </c>
    </row>
    <row r="26" spans="1:66" s="6" customFormat="1" x14ac:dyDescent="0.25">
      <c r="A26" s="378" t="s">
        <v>29</v>
      </c>
      <c r="B26" s="371"/>
      <c r="C26" s="386">
        <v>0.6</v>
      </c>
      <c r="D26" s="93"/>
      <c r="E26" s="93"/>
      <c r="F26" s="93"/>
      <c r="G26" s="394"/>
      <c r="H26" s="191"/>
      <c r="I26" s="88">
        <f t="shared" si="6"/>
        <v>0</v>
      </c>
      <c r="J26" s="83">
        <f>C26*I26</f>
        <v>0</v>
      </c>
      <c r="K26" s="34">
        <f t="shared" si="1"/>
        <v>0</v>
      </c>
      <c r="L26" s="5">
        <f t="shared" si="2"/>
        <v>0</v>
      </c>
      <c r="M26" s="61"/>
      <c r="N26" s="70"/>
      <c r="O26" s="71" t="str">
        <f t="shared" si="3"/>
        <v/>
      </c>
      <c r="P26" s="68">
        <f>Q26*C26</f>
        <v>16.363636363636363</v>
      </c>
      <c r="Q26" s="68">
        <f t="shared" si="7"/>
        <v>27.272727272727273</v>
      </c>
      <c r="R26" s="66">
        <v>300</v>
      </c>
      <c r="S26" s="66">
        <f t="shared" si="8"/>
        <v>750</v>
      </c>
      <c r="T26" s="67">
        <f t="shared" si="9"/>
        <v>0</v>
      </c>
      <c r="U26" s="26">
        <f t="shared" si="17"/>
        <v>0</v>
      </c>
      <c r="V26" s="153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326">
        <f t="shared" ca="1" si="10"/>
        <v>0</v>
      </c>
      <c r="BB26" s="327">
        <f t="shared" ca="1" si="11"/>
        <v>0</v>
      </c>
      <c r="BD26" s="61">
        <f t="shared" si="12"/>
        <v>0</v>
      </c>
      <c r="BE26" s="214"/>
      <c r="BF26" s="305">
        <f t="shared" ca="1" si="13"/>
        <v>0</v>
      </c>
      <c r="BG26" s="217"/>
      <c r="BH26" s="215">
        <f t="shared" ca="1" si="18"/>
        <v>0</v>
      </c>
      <c r="BI26" s="61">
        <f t="shared" si="20"/>
        <v>0</v>
      </c>
      <c r="BJ26" s="218">
        <f t="shared" ca="1" si="14"/>
        <v>0</v>
      </c>
      <c r="BK26" s="216">
        <f ca="1">IFERROR(BJ26/$BE$3,0)</f>
        <v>0</v>
      </c>
      <c r="BL26" s="219">
        <f ca="1">SUMIFS(V26:AZ26,$V$6:$AZ$6,"пл")</f>
        <v>0</v>
      </c>
      <c r="BM26" s="220">
        <f t="shared" ca="1" si="15"/>
        <v>0</v>
      </c>
      <c r="BN26" s="221">
        <f t="shared" ca="1" si="16"/>
        <v>0</v>
      </c>
    </row>
    <row r="27" spans="1:66" s="6" customFormat="1" x14ac:dyDescent="0.25">
      <c r="A27" s="378" t="s">
        <v>30</v>
      </c>
      <c r="B27" s="371"/>
      <c r="C27" s="386">
        <v>0.71</v>
      </c>
      <c r="D27" s="94"/>
      <c r="E27" s="94"/>
      <c r="F27" s="94"/>
      <c r="G27" s="394"/>
      <c r="H27" s="191"/>
      <c r="I27" s="88">
        <f t="shared" si="6"/>
        <v>0</v>
      </c>
      <c r="J27" s="84">
        <f>C27*I27</f>
        <v>0</v>
      </c>
      <c r="K27" s="35">
        <f t="shared" si="1"/>
        <v>0</v>
      </c>
      <c r="L27" s="7">
        <f t="shared" si="2"/>
        <v>0</v>
      </c>
      <c r="M27" s="62"/>
      <c r="N27" s="70"/>
      <c r="O27" s="71" t="str">
        <f t="shared" si="3"/>
        <v/>
      </c>
      <c r="P27" s="68">
        <f>Q27*C27</f>
        <v>19.363636363636363</v>
      </c>
      <c r="Q27" s="68">
        <f t="shared" si="7"/>
        <v>27.272727272727273</v>
      </c>
      <c r="R27" s="66">
        <v>300</v>
      </c>
      <c r="S27" s="66">
        <f t="shared" si="8"/>
        <v>750</v>
      </c>
      <c r="T27" s="67">
        <f t="shared" si="9"/>
        <v>0</v>
      </c>
      <c r="U27" s="26">
        <f t="shared" si="17"/>
        <v>0</v>
      </c>
      <c r="V27" s="153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326">
        <f t="shared" ca="1" si="10"/>
        <v>0</v>
      </c>
      <c r="BB27" s="327">
        <f t="shared" ca="1" si="11"/>
        <v>0</v>
      </c>
      <c r="BD27" s="61">
        <f t="shared" si="12"/>
        <v>0</v>
      </c>
      <c r="BE27" s="214"/>
      <c r="BF27" s="305">
        <f t="shared" ca="1" si="13"/>
        <v>0</v>
      </c>
      <c r="BG27" s="217"/>
      <c r="BH27" s="215">
        <f t="shared" ca="1" si="18"/>
        <v>0</v>
      </c>
      <c r="BI27" s="61">
        <f t="shared" si="20"/>
        <v>0</v>
      </c>
      <c r="BJ27" s="218">
        <f t="shared" ca="1" si="14"/>
        <v>0</v>
      </c>
      <c r="BK27" s="216">
        <f ca="1">IFERROR(BJ27/$BE$3,0)</f>
        <v>0</v>
      </c>
      <c r="BL27" s="219">
        <f ca="1">SUMIFS(V27:AZ27,$V$6:$AZ$6,"пл")</f>
        <v>0</v>
      </c>
      <c r="BM27" s="220">
        <f t="shared" ca="1" si="15"/>
        <v>0</v>
      </c>
      <c r="BN27" s="221">
        <f t="shared" ca="1" si="16"/>
        <v>0</v>
      </c>
    </row>
    <row r="28" spans="1:66" s="6" customFormat="1" x14ac:dyDescent="0.25">
      <c r="A28" s="381" t="s">
        <v>116</v>
      </c>
      <c r="B28" s="370" t="s">
        <v>403</v>
      </c>
      <c r="C28" s="386">
        <v>0.06</v>
      </c>
      <c r="D28" s="93"/>
      <c r="E28" s="93"/>
      <c r="F28" s="93"/>
      <c r="G28" s="394"/>
      <c r="H28" s="191"/>
      <c r="I28" s="88">
        <f t="shared" si="6"/>
        <v>0</v>
      </c>
      <c r="J28" s="83">
        <f>C28*I28</f>
        <v>0</v>
      </c>
      <c r="K28" s="34">
        <f t="shared" si="1"/>
        <v>0</v>
      </c>
      <c r="L28" s="5">
        <f t="shared" si="2"/>
        <v>0</v>
      </c>
      <c r="M28" s="61"/>
      <c r="N28" s="70"/>
      <c r="O28" s="71" t="str">
        <f t="shared" si="3"/>
        <v/>
      </c>
      <c r="P28" s="68">
        <f>Q28*C28</f>
        <v>13.636363636363637</v>
      </c>
      <c r="Q28" s="68">
        <f t="shared" si="7"/>
        <v>227.27272727272728</v>
      </c>
      <c r="R28" s="66">
        <v>2500</v>
      </c>
      <c r="S28" s="66">
        <f t="shared" si="8"/>
        <v>6250</v>
      </c>
      <c r="T28" s="67">
        <f t="shared" si="9"/>
        <v>0</v>
      </c>
      <c r="U28" s="26">
        <f t="shared" si="17"/>
        <v>0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326">
        <f t="shared" ca="1" si="10"/>
        <v>0</v>
      </c>
      <c r="BB28" s="327">
        <f t="shared" ca="1" si="11"/>
        <v>0</v>
      </c>
      <c r="BD28" s="61">
        <f t="shared" si="12"/>
        <v>0</v>
      </c>
      <c r="BE28" s="214"/>
      <c r="BF28" s="305">
        <f t="shared" ca="1" si="13"/>
        <v>0</v>
      </c>
      <c r="BG28" s="217"/>
      <c r="BH28" s="215">
        <f t="shared" ca="1" si="18"/>
        <v>0</v>
      </c>
      <c r="BI28" s="61">
        <f t="shared" si="20"/>
        <v>0</v>
      </c>
      <c r="BJ28" s="218">
        <f t="shared" ca="1" si="14"/>
        <v>0</v>
      </c>
      <c r="BK28" s="216">
        <f ca="1">IFERROR(BJ28/$BE$3,0)</f>
        <v>0</v>
      </c>
      <c r="BL28" s="219">
        <f ca="1">SUMIFS(V28:AZ28,$V$6:$AZ$6,"пл")</f>
        <v>0</v>
      </c>
      <c r="BM28" s="220">
        <f t="shared" ca="1" si="15"/>
        <v>0</v>
      </c>
      <c r="BN28" s="221">
        <f t="shared" ca="1" si="16"/>
        <v>0</v>
      </c>
    </row>
    <row r="29" spans="1:66" s="6" customFormat="1" x14ac:dyDescent="0.25">
      <c r="A29" s="381" t="s">
        <v>115</v>
      </c>
      <c r="B29" s="370" t="s">
        <v>404</v>
      </c>
      <c r="C29" s="386">
        <v>0.03</v>
      </c>
      <c r="D29" s="93"/>
      <c r="E29" s="93"/>
      <c r="F29" s="93"/>
      <c r="G29" s="394"/>
      <c r="H29" s="191"/>
      <c r="I29" s="88">
        <f t="shared" si="6"/>
        <v>0</v>
      </c>
      <c r="J29" s="83">
        <f>C29*I29</f>
        <v>0</v>
      </c>
      <c r="K29" s="34">
        <f t="shared" si="1"/>
        <v>0</v>
      </c>
      <c r="L29" s="5">
        <f t="shared" si="2"/>
        <v>0</v>
      </c>
      <c r="M29" s="61"/>
      <c r="N29" s="70"/>
      <c r="O29" s="71" t="str">
        <f t="shared" si="3"/>
        <v/>
      </c>
      <c r="P29" s="68">
        <f>Q29*C29</f>
        <v>13.636363636363637</v>
      </c>
      <c r="Q29" s="68">
        <f t="shared" si="7"/>
        <v>454.54545454545456</v>
      </c>
      <c r="R29" s="66">
        <v>5000</v>
      </c>
      <c r="S29" s="66">
        <f t="shared" si="8"/>
        <v>12500</v>
      </c>
      <c r="T29" s="67">
        <f t="shared" si="9"/>
        <v>0</v>
      </c>
      <c r="U29" s="26">
        <f t="shared" si="17"/>
        <v>0</v>
      </c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326">
        <f t="shared" ca="1" si="10"/>
        <v>0</v>
      </c>
      <c r="BB29" s="327">
        <f t="shared" ca="1" si="11"/>
        <v>0</v>
      </c>
      <c r="BD29" s="61">
        <f t="shared" si="12"/>
        <v>0</v>
      </c>
      <c r="BE29" s="214"/>
      <c r="BF29" s="305">
        <f t="shared" ca="1" si="13"/>
        <v>0</v>
      </c>
      <c r="BG29" s="217"/>
      <c r="BH29" s="215">
        <f t="shared" ca="1" si="18"/>
        <v>0</v>
      </c>
      <c r="BI29" s="61">
        <f t="shared" si="20"/>
        <v>0</v>
      </c>
      <c r="BJ29" s="218">
        <f t="shared" ca="1" si="14"/>
        <v>0</v>
      </c>
      <c r="BK29" s="216">
        <f ca="1">IFERROR(BJ29/$BE$3,0)</f>
        <v>0</v>
      </c>
      <c r="BL29" s="219">
        <f ca="1">SUMIFS(V29:AZ29,$V$6:$AZ$6,"пл")</f>
        <v>0</v>
      </c>
      <c r="BM29" s="220">
        <f t="shared" ca="1" si="15"/>
        <v>0</v>
      </c>
      <c r="BN29" s="221">
        <f t="shared" ca="1" si="16"/>
        <v>0</v>
      </c>
    </row>
    <row r="30" spans="1:66" s="6" customFormat="1" x14ac:dyDescent="0.25">
      <c r="A30" s="381" t="s">
        <v>114</v>
      </c>
      <c r="B30" s="370" t="s">
        <v>405</v>
      </c>
      <c r="C30" s="386">
        <v>0.04</v>
      </c>
      <c r="D30" s="93"/>
      <c r="E30" s="93"/>
      <c r="F30" s="93"/>
      <c r="G30" s="394"/>
      <c r="H30" s="191"/>
      <c r="I30" s="88">
        <f t="shared" si="6"/>
        <v>0</v>
      </c>
      <c r="J30" s="83">
        <f>C30*I30</f>
        <v>0</v>
      </c>
      <c r="K30" s="34">
        <f t="shared" si="1"/>
        <v>0</v>
      </c>
      <c r="L30" s="5">
        <f t="shared" si="2"/>
        <v>0</v>
      </c>
      <c r="M30" s="61"/>
      <c r="N30" s="70"/>
      <c r="O30" s="71" t="str">
        <f t="shared" si="3"/>
        <v/>
      </c>
      <c r="P30" s="68">
        <f>Q30*C30</f>
        <v>0.21818181818181817</v>
      </c>
      <c r="Q30" s="68">
        <f t="shared" si="7"/>
        <v>5.4545454545454541</v>
      </c>
      <c r="R30" s="66">
        <v>60</v>
      </c>
      <c r="S30" s="66">
        <f t="shared" si="8"/>
        <v>150</v>
      </c>
      <c r="T30" s="67">
        <f t="shared" si="9"/>
        <v>0</v>
      </c>
      <c r="U30" s="26">
        <f t="shared" si="17"/>
        <v>0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326">
        <f t="shared" ca="1" si="10"/>
        <v>0</v>
      </c>
      <c r="BB30" s="327">
        <f t="shared" ca="1" si="11"/>
        <v>0</v>
      </c>
      <c r="BD30" s="61">
        <f t="shared" si="12"/>
        <v>0</v>
      </c>
      <c r="BE30" s="214"/>
      <c r="BF30" s="305">
        <f t="shared" ca="1" si="13"/>
        <v>0</v>
      </c>
      <c r="BG30" s="217"/>
      <c r="BH30" s="215">
        <f t="shared" ca="1" si="18"/>
        <v>0</v>
      </c>
      <c r="BI30" s="61">
        <f t="shared" si="20"/>
        <v>0</v>
      </c>
      <c r="BJ30" s="218">
        <f t="shared" ca="1" si="14"/>
        <v>0</v>
      </c>
      <c r="BK30" s="216">
        <f ca="1">IFERROR(BJ30/$BE$3,0)</f>
        <v>0</v>
      </c>
      <c r="BL30" s="219">
        <f ca="1">SUMIFS(V30:AZ30,$V$6:$AZ$6,"пл")</f>
        <v>0</v>
      </c>
      <c r="BM30" s="220">
        <f t="shared" ca="1" si="15"/>
        <v>0</v>
      </c>
      <c r="BN30" s="221">
        <f t="shared" ca="1" si="16"/>
        <v>0</v>
      </c>
    </row>
    <row r="31" spans="1:66" s="6" customFormat="1" x14ac:dyDescent="0.25">
      <c r="A31" s="381" t="s">
        <v>113</v>
      </c>
      <c r="B31" s="371"/>
      <c r="C31" s="386">
        <v>1</v>
      </c>
      <c r="D31" s="93"/>
      <c r="E31" s="93"/>
      <c r="F31" s="93"/>
      <c r="G31" s="394"/>
      <c r="H31" s="191"/>
      <c r="I31" s="88">
        <f t="shared" si="6"/>
        <v>0</v>
      </c>
      <c r="J31" s="83">
        <f>C31*I31</f>
        <v>0</v>
      </c>
      <c r="K31" s="34">
        <f t="shared" si="1"/>
        <v>0</v>
      </c>
      <c r="L31" s="5">
        <f t="shared" si="2"/>
        <v>0</v>
      </c>
      <c r="M31" s="61"/>
      <c r="N31" s="70"/>
      <c r="O31" s="71" t="str">
        <f t="shared" si="3"/>
        <v/>
      </c>
      <c r="P31" s="68">
        <f>Q31*C31</f>
        <v>1.8181818181818181</v>
      </c>
      <c r="Q31" s="68">
        <f t="shared" si="7"/>
        <v>1.8181818181818181</v>
      </c>
      <c r="R31" s="66">
        <v>20</v>
      </c>
      <c r="S31" s="66">
        <f t="shared" si="8"/>
        <v>50</v>
      </c>
      <c r="T31" s="67">
        <f t="shared" si="9"/>
        <v>0</v>
      </c>
      <c r="U31" s="26">
        <f t="shared" si="17"/>
        <v>0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326">
        <f t="shared" ca="1" si="10"/>
        <v>0</v>
      </c>
      <c r="BB31" s="327">
        <f t="shared" ca="1" si="11"/>
        <v>0</v>
      </c>
      <c r="BD31" s="61">
        <f t="shared" si="12"/>
        <v>0</v>
      </c>
      <c r="BE31" s="214"/>
      <c r="BF31" s="305">
        <f t="shared" ca="1" si="13"/>
        <v>0</v>
      </c>
      <c r="BG31" s="217"/>
      <c r="BH31" s="215">
        <f t="shared" ca="1" si="18"/>
        <v>0</v>
      </c>
      <c r="BI31" s="61">
        <f t="shared" si="20"/>
        <v>0</v>
      </c>
      <c r="BJ31" s="218">
        <f t="shared" ca="1" si="14"/>
        <v>0</v>
      </c>
      <c r="BK31" s="216">
        <f ca="1">IFERROR(BJ31/$BE$3,0)</f>
        <v>0</v>
      </c>
      <c r="BL31" s="219">
        <f ca="1">SUMIFS(V31:AZ31,$V$6:$AZ$6,"пл")</f>
        <v>0</v>
      </c>
      <c r="BM31" s="220">
        <f t="shared" ca="1" si="15"/>
        <v>0</v>
      </c>
      <c r="BN31" s="221">
        <f t="shared" ca="1" si="16"/>
        <v>0</v>
      </c>
    </row>
    <row r="32" spans="1:66" s="6" customFormat="1" x14ac:dyDescent="0.25">
      <c r="A32" s="378" t="s">
        <v>31</v>
      </c>
      <c r="B32" s="370" t="s">
        <v>406</v>
      </c>
      <c r="C32" s="386">
        <v>0.5</v>
      </c>
      <c r="D32" s="93"/>
      <c r="E32" s="93"/>
      <c r="F32" s="93"/>
      <c r="G32" s="394"/>
      <c r="H32" s="191"/>
      <c r="I32" s="88">
        <f t="shared" si="6"/>
        <v>0</v>
      </c>
      <c r="J32" s="83">
        <f>C32*I32</f>
        <v>0</v>
      </c>
      <c r="K32" s="34">
        <f t="shared" si="1"/>
        <v>0</v>
      </c>
      <c r="L32" s="5">
        <f t="shared" si="2"/>
        <v>0</v>
      </c>
      <c r="M32" s="61"/>
      <c r="N32" s="70"/>
      <c r="O32" s="71" t="str">
        <f t="shared" si="3"/>
        <v/>
      </c>
      <c r="P32" s="68">
        <f>Q32*C32</f>
        <v>37.5</v>
      </c>
      <c r="Q32" s="68">
        <f t="shared" si="7"/>
        <v>75</v>
      </c>
      <c r="R32" s="66">
        <v>825</v>
      </c>
      <c r="S32" s="66">
        <f t="shared" si="8"/>
        <v>2062.5</v>
      </c>
      <c r="T32" s="67">
        <f t="shared" si="9"/>
        <v>0</v>
      </c>
      <c r="U32" s="26">
        <f t="shared" si="17"/>
        <v>0</v>
      </c>
      <c r="V32" s="153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326">
        <f t="shared" ca="1" si="10"/>
        <v>0</v>
      </c>
      <c r="BB32" s="327">
        <f t="shared" ca="1" si="11"/>
        <v>0</v>
      </c>
      <c r="BD32" s="61">
        <f t="shared" si="12"/>
        <v>0</v>
      </c>
      <c r="BE32" s="214"/>
      <c r="BF32" s="305">
        <f t="shared" ca="1" si="13"/>
        <v>0</v>
      </c>
      <c r="BG32" s="217"/>
      <c r="BH32" s="215">
        <f t="shared" ca="1" si="18"/>
        <v>0</v>
      </c>
      <c r="BI32" s="61">
        <f t="shared" si="20"/>
        <v>0</v>
      </c>
      <c r="BJ32" s="218">
        <f t="shared" ca="1" si="14"/>
        <v>0</v>
      </c>
      <c r="BK32" s="216">
        <f ca="1">IFERROR(BJ32/$BE$3,0)</f>
        <v>0</v>
      </c>
      <c r="BL32" s="219">
        <f ca="1">SUMIFS(V32:AZ32,$V$6:$AZ$6,"пл")</f>
        <v>0</v>
      </c>
      <c r="BM32" s="220">
        <f t="shared" ca="1" si="15"/>
        <v>0</v>
      </c>
      <c r="BN32" s="221">
        <f t="shared" ca="1" si="16"/>
        <v>0</v>
      </c>
    </row>
    <row r="33" spans="1:66" s="6" customFormat="1" x14ac:dyDescent="0.25">
      <c r="A33" s="378" t="s">
        <v>32</v>
      </c>
      <c r="B33" s="370" t="s">
        <v>407</v>
      </c>
      <c r="C33" s="386">
        <v>0.33</v>
      </c>
      <c r="D33" s="93"/>
      <c r="E33" s="93"/>
      <c r="F33" s="93"/>
      <c r="G33" s="394"/>
      <c r="H33" s="191"/>
      <c r="I33" s="88">
        <f t="shared" si="6"/>
        <v>0</v>
      </c>
      <c r="J33" s="83">
        <f>C33*I33</f>
        <v>0</v>
      </c>
      <c r="K33" s="34">
        <f t="shared" si="1"/>
        <v>0</v>
      </c>
      <c r="L33" s="5">
        <f t="shared" si="2"/>
        <v>0</v>
      </c>
      <c r="M33" s="61"/>
      <c r="N33" s="70"/>
      <c r="O33" s="71" t="str">
        <f t="shared" si="3"/>
        <v/>
      </c>
      <c r="P33" s="68">
        <f>Q33*C33</f>
        <v>16.5</v>
      </c>
      <c r="Q33" s="68">
        <f t="shared" si="7"/>
        <v>50</v>
      </c>
      <c r="R33" s="66">
        <v>550</v>
      </c>
      <c r="S33" s="66">
        <f t="shared" si="8"/>
        <v>1375</v>
      </c>
      <c r="T33" s="67">
        <f t="shared" si="9"/>
        <v>0</v>
      </c>
      <c r="U33" s="26">
        <f t="shared" si="17"/>
        <v>0</v>
      </c>
      <c r="V33" s="153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326">
        <f t="shared" ca="1" si="10"/>
        <v>0</v>
      </c>
      <c r="BB33" s="327">
        <f t="shared" ca="1" si="11"/>
        <v>0</v>
      </c>
      <c r="BD33" s="61">
        <f t="shared" si="12"/>
        <v>0</v>
      </c>
      <c r="BE33" s="214"/>
      <c r="BF33" s="305">
        <f t="shared" ca="1" si="13"/>
        <v>0</v>
      </c>
      <c r="BG33" s="217"/>
      <c r="BH33" s="215">
        <f t="shared" ca="1" si="18"/>
        <v>0</v>
      </c>
      <c r="BI33" s="61">
        <f t="shared" si="20"/>
        <v>0</v>
      </c>
      <c r="BJ33" s="218">
        <f t="shared" ca="1" si="14"/>
        <v>0</v>
      </c>
      <c r="BK33" s="216">
        <f ca="1">IFERROR(BJ33/$BE$3,0)</f>
        <v>0</v>
      </c>
      <c r="BL33" s="219">
        <f ca="1">SUMIFS(V33:AZ33,$V$6:$AZ$6,"пл")</f>
        <v>0</v>
      </c>
      <c r="BM33" s="220">
        <f t="shared" ca="1" si="15"/>
        <v>0</v>
      </c>
      <c r="BN33" s="221">
        <f t="shared" ca="1" si="16"/>
        <v>0</v>
      </c>
    </row>
    <row r="34" spans="1:66" s="6" customFormat="1" x14ac:dyDescent="0.25">
      <c r="A34" s="378"/>
      <c r="B34" s="372"/>
      <c r="C34" s="386"/>
      <c r="D34" s="93"/>
      <c r="E34" s="93"/>
      <c r="F34" s="93"/>
      <c r="G34" s="394"/>
      <c r="H34" s="191"/>
      <c r="I34" s="88">
        <f t="shared" si="6"/>
        <v>0</v>
      </c>
      <c r="J34" s="83">
        <f>C34*I34</f>
        <v>0</v>
      </c>
      <c r="K34" s="34">
        <f t="shared" si="1"/>
        <v>0</v>
      </c>
      <c r="L34" s="5">
        <f t="shared" si="2"/>
        <v>0</v>
      </c>
      <c r="M34" s="61"/>
      <c r="N34" s="70"/>
      <c r="O34" s="71" t="str">
        <f t="shared" si="3"/>
        <v/>
      </c>
      <c r="P34" s="68">
        <f>Q34*C34</f>
        <v>0</v>
      </c>
      <c r="Q34" s="68">
        <f t="shared" si="7"/>
        <v>1E-4</v>
      </c>
      <c r="R34" s="66"/>
      <c r="S34" s="66">
        <f t="shared" si="8"/>
        <v>0</v>
      </c>
      <c r="T34" s="67">
        <f t="shared" si="9"/>
        <v>0</v>
      </c>
      <c r="U34" s="26">
        <f t="shared" si="17"/>
        <v>0</v>
      </c>
      <c r="V34" s="153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326">
        <f t="shared" ca="1" si="10"/>
        <v>0</v>
      </c>
      <c r="BB34" s="327">
        <f t="shared" ca="1" si="11"/>
        <v>0</v>
      </c>
      <c r="BD34" s="61">
        <f t="shared" si="12"/>
        <v>0</v>
      </c>
      <c r="BE34" s="214"/>
      <c r="BF34" s="305">
        <f t="shared" ca="1" si="13"/>
        <v>0</v>
      </c>
      <c r="BG34" s="217"/>
      <c r="BH34" s="215">
        <f t="shared" ca="1" si="18"/>
        <v>0</v>
      </c>
      <c r="BI34" s="61">
        <f t="shared" si="20"/>
        <v>0</v>
      </c>
      <c r="BJ34" s="218">
        <f t="shared" ca="1" si="14"/>
        <v>0</v>
      </c>
      <c r="BK34" s="216">
        <f ca="1">IFERROR(BJ34/$BE$3,0)</f>
        <v>0</v>
      </c>
      <c r="BL34" s="219">
        <f ca="1">SUMIFS(V34:AZ34,$V$6:$AZ$6,"пл")</f>
        <v>0</v>
      </c>
      <c r="BM34" s="220">
        <f t="shared" ca="1" si="15"/>
        <v>0</v>
      </c>
      <c r="BN34" s="221">
        <f t="shared" ca="1" si="16"/>
        <v>0</v>
      </c>
    </row>
    <row r="35" spans="1:66" s="6" customFormat="1" x14ac:dyDescent="0.25">
      <c r="A35" s="379"/>
      <c r="B35" s="373"/>
      <c r="C35" s="386"/>
      <c r="D35" s="93"/>
      <c r="E35" s="93"/>
      <c r="F35" s="93"/>
      <c r="G35" s="394"/>
      <c r="H35" s="191"/>
      <c r="I35" s="88">
        <f t="shared" si="6"/>
        <v>0</v>
      </c>
      <c r="J35" s="83">
        <f>C35*I35</f>
        <v>0</v>
      </c>
      <c r="K35" s="34">
        <f t="shared" si="1"/>
        <v>0</v>
      </c>
      <c r="L35" s="5">
        <f t="shared" si="2"/>
        <v>0</v>
      </c>
      <c r="M35" s="61"/>
      <c r="N35" s="70"/>
      <c r="O35" s="71" t="str">
        <f t="shared" si="3"/>
        <v/>
      </c>
      <c r="P35" s="68">
        <f>Q35*C35</f>
        <v>0</v>
      </c>
      <c r="Q35" s="68">
        <f t="shared" si="7"/>
        <v>1E-4</v>
      </c>
      <c r="R35" s="66"/>
      <c r="S35" s="66">
        <f t="shared" si="8"/>
        <v>0</v>
      </c>
      <c r="T35" s="67">
        <f t="shared" si="9"/>
        <v>0</v>
      </c>
      <c r="U35" s="26">
        <f t="shared" si="17"/>
        <v>0</v>
      </c>
      <c r="V35" s="153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326">
        <f t="shared" ca="1" si="10"/>
        <v>0</v>
      </c>
      <c r="BB35" s="327">
        <f t="shared" ca="1" si="11"/>
        <v>0</v>
      </c>
      <c r="BD35" s="61">
        <f t="shared" si="12"/>
        <v>0</v>
      </c>
      <c r="BE35" s="214"/>
      <c r="BF35" s="305">
        <f t="shared" ca="1" si="13"/>
        <v>0</v>
      </c>
      <c r="BG35" s="217"/>
      <c r="BH35" s="215">
        <f t="shared" ca="1" si="18"/>
        <v>0</v>
      </c>
      <c r="BI35" s="61">
        <f t="shared" si="20"/>
        <v>0</v>
      </c>
      <c r="BJ35" s="218">
        <f t="shared" ca="1" si="14"/>
        <v>0</v>
      </c>
      <c r="BK35" s="216">
        <f ca="1">IFERROR(BJ35/$BE$3,0)</f>
        <v>0</v>
      </c>
      <c r="BL35" s="219">
        <f ca="1">SUMIFS(V35:AZ35,$V$6:$AZ$6,"пл")</f>
        <v>0</v>
      </c>
      <c r="BM35" s="220">
        <f t="shared" ca="1" si="15"/>
        <v>0</v>
      </c>
      <c r="BN35" s="221">
        <f t="shared" ca="1" si="16"/>
        <v>0</v>
      </c>
    </row>
    <row r="36" spans="1:66" s="6" customFormat="1" x14ac:dyDescent="0.25">
      <c r="A36" s="379"/>
      <c r="B36" s="373"/>
      <c r="C36" s="386"/>
      <c r="D36" s="93"/>
      <c r="E36" s="93"/>
      <c r="F36" s="93"/>
      <c r="G36" s="394"/>
      <c r="H36" s="191"/>
      <c r="I36" s="88">
        <f t="shared" si="6"/>
        <v>0</v>
      </c>
      <c r="J36" s="83">
        <f>C36*I36</f>
        <v>0</v>
      </c>
      <c r="K36" s="34">
        <f t="shared" si="1"/>
        <v>0</v>
      </c>
      <c r="L36" s="5">
        <f t="shared" si="2"/>
        <v>0</v>
      </c>
      <c r="M36" s="61"/>
      <c r="N36" s="70"/>
      <c r="O36" s="71" t="str">
        <f t="shared" si="3"/>
        <v/>
      </c>
      <c r="P36" s="68">
        <f>Q36*C36</f>
        <v>0</v>
      </c>
      <c r="Q36" s="68">
        <f t="shared" si="7"/>
        <v>1E-4</v>
      </c>
      <c r="R36" s="66"/>
      <c r="S36" s="66">
        <f t="shared" si="8"/>
        <v>0</v>
      </c>
      <c r="T36" s="67">
        <f t="shared" si="9"/>
        <v>0</v>
      </c>
      <c r="U36" s="26">
        <f t="shared" si="17"/>
        <v>0</v>
      </c>
      <c r="V36" s="153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326">
        <f t="shared" ca="1" si="10"/>
        <v>0</v>
      </c>
      <c r="BB36" s="327">
        <f t="shared" ca="1" si="11"/>
        <v>0</v>
      </c>
      <c r="BD36" s="61">
        <f t="shared" si="12"/>
        <v>0</v>
      </c>
      <c r="BE36" s="214"/>
      <c r="BF36" s="305">
        <f t="shared" ca="1" si="13"/>
        <v>0</v>
      </c>
      <c r="BG36" s="217"/>
      <c r="BH36" s="215">
        <f t="shared" ca="1" si="18"/>
        <v>0</v>
      </c>
      <c r="BI36" s="61">
        <f t="shared" si="20"/>
        <v>0</v>
      </c>
      <c r="BJ36" s="218">
        <f t="shared" ca="1" si="14"/>
        <v>0</v>
      </c>
      <c r="BK36" s="216">
        <f ca="1">IFERROR(BJ36/$BE$3,0)</f>
        <v>0</v>
      </c>
      <c r="BL36" s="219">
        <f ca="1">SUMIFS(V36:AZ36,$V$6:$AZ$6,"пл")</f>
        <v>0</v>
      </c>
      <c r="BM36" s="220">
        <f t="shared" ca="1" si="15"/>
        <v>0</v>
      </c>
      <c r="BN36" s="221">
        <f t="shared" ca="1" si="16"/>
        <v>0</v>
      </c>
    </row>
    <row r="37" spans="1:66" s="6" customFormat="1" x14ac:dyDescent="0.25">
      <c r="A37" s="379"/>
      <c r="B37" s="373"/>
      <c r="C37" s="386"/>
      <c r="D37" s="93"/>
      <c r="E37" s="93"/>
      <c r="F37" s="93"/>
      <c r="G37" s="394"/>
      <c r="H37" s="191"/>
      <c r="I37" s="88">
        <f t="shared" si="6"/>
        <v>0</v>
      </c>
      <c r="J37" s="83">
        <f>C37*I37</f>
        <v>0</v>
      </c>
      <c r="K37" s="34">
        <f t="shared" si="1"/>
        <v>0</v>
      </c>
      <c r="L37" s="5">
        <f t="shared" si="2"/>
        <v>0</v>
      </c>
      <c r="M37" s="61"/>
      <c r="N37" s="70"/>
      <c r="O37" s="71" t="str">
        <f t="shared" si="3"/>
        <v/>
      </c>
      <c r="P37" s="68">
        <f>Q37*C37</f>
        <v>0</v>
      </c>
      <c r="Q37" s="68">
        <f t="shared" si="7"/>
        <v>1E-4</v>
      </c>
      <c r="R37" s="66"/>
      <c r="S37" s="66">
        <f t="shared" si="8"/>
        <v>0</v>
      </c>
      <c r="T37" s="67">
        <f t="shared" si="9"/>
        <v>0</v>
      </c>
      <c r="U37" s="26">
        <f t="shared" si="17"/>
        <v>0</v>
      </c>
      <c r="V37" s="153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326">
        <f t="shared" ca="1" si="10"/>
        <v>0</v>
      </c>
      <c r="BB37" s="327">
        <f t="shared" ca="1" si="11"/>
        <v>0</v>
      </c>
      <c r="BD37" s="61">
        <f t="shared" si="12"/>
        <v>0</v>
      </c>
      <c r="BE37" s="214"/>
      <c r="BF37" s="305">
        <f t="shared" ca="1" si="13"/>
        <v>0</v>
      </c>
      <c r="BG37" s="217"/>
      <c r="BH37" s="215">
        <f t="shared" ca="1" si="18"/>
        <v>0</v>
      </c>
      <c r="BI37" s="61">
        <f t="shared" si="20"/>
        <v>0</v>
      </c>
      <c r="BJ37" s="218">
        <f t="shared" ca="1" si="14"/>
        <v>0</v>
      </c>
      <c r="BK37" s="216">
        <f ca="1">IFERROR(BJ37/$BE$3,0)</f>
        <v>0</v>
      </c>
      <c r="BL37" s="219">
        <f ca="1">SUMIFS(V37:AZ37,$V$6:$AZ$6,"пл")</f>
        <v>0</v>
      </c>
      <c r="BM37" s="220">
        <f t="shared" ca="1" si="15"/>
        <v>0</v>
      </c>
      <c r="BN37" s="221">
        <f t="shared" ca="1" si="16"/>
        <v>0</v>
      </c>
    </row>
    <row r="38" spans="1:66" s="6" customFormat="1" x14ac:dyDescent="0.25">
      <c r="A38" s="379"/>
      <c r="B38" s="373"/>
      <c r="C38" s="386"/>
      <c r="D38" s="93"/>
      <c r="E38" s="93"/>
      <c r="F38" s="93"/>
      <c r="G38" s="394"/>
      <c r="H38" s="191"/>
      <c r="I38" s="88">
        <f t="shared" si="6"/>
        <v>0</v>
      </c>
      <c r="J38" s="83">
        <f>C38*I38</f>
        <v>0</v>
      </c>
      <c r="K38" s="34">
        <f t="shared" si="1"/>
        <v>0</v>
      </c>
      <c r="L38" s="5">
        <f t="shared" si="2"/>
        <v>0</v>
      </c>
      <c r="M38" s="61"/>
      <c r="N38" s="70"/>
      <c r="O38" s="71" t="str">
        <f t="shared" si="3"/>
        <v/>
      </c>
      <c r="P38" s="68">
        <f>Q38*C38</f>
        <v>0</v>
      </c>
      <c r="Q38" s="68">
        <f t="shared" si="7"/>
        <v>1E-4</v>
      </c>
      <c r="R38" s="66"/>
      <c r="S38" s="66">
        <f t="shared" si="8"/>
        <v>0</v>
      </c>
      <c r="T38" s="67">
        <f t="shared" si="9"/>
        <v>0</v>
      </c>
      <c r="U38" s="26">
        <f t="shared" si="17"/>
        <v>0</v>
      </c>
      <c r="V38" s="153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326">
        <f t="shared" ca="1" si="10"/>
        <v>0</v>
      </c>
      <c r="BB38" s="327">
        <f t="shared" ca="1" si="11"/>
        <v>0</v>
      </c>
      <c r="BD38" s="61">
        <f t="shared" si="12"/>
        <v>0</v>
      </c>
      <c r="BE38" s="214"/>
      <c r="BF38" s="305">
        <f t="shared" ca="1" si="13"/>
        <v>0</v>
      </c>
      <c r="BG38" s="217"/>
      <c r="BH38" s="215">
        <f t="shared" ca="1" si="18"/>
        <v>0</v>
      </c>
      <c r="BI38" s="61">
        <f t="shared" si="20"/>
        <v>0</v>
      </c>
      <c r="BJ38" s="218">
        <f t="shared" ca="1" si="14"/>
        <v>0</v>
      </c>
      <c r="BK38" s="216">
        <f ca="1">IFERROR(BJ38/$BE$3,0)</f>
        <v>0</v>
      </c>
      <c r="BL38" s="219">
        <f ca="1">SUMIFS(V38:AZ38,$V$6:$AZ$6,"пл")</f>
        <v>0</v>
      </c>
      <c r="BM38" s="220">
        <f t="shared" ca="1" si="15"/>
        <v>0</v>
      </c>
      <c r="BN38" s="221">
        <f t="shared" ca="1" si="16"/>
        <v>0</v>
      </c>
    </row>
    <row r="39" spans="1:66" s="6" customFormat="1" x14ac:dyDescent="0.25">
      <c r="A39" s="379"/>
      <c r="B39" s="374"/>
      <c r="C39" s="387"/>
      <c r="D39" s="94"/>
      <c r="E39" s="94"/>
      <c r="F39" s="94"/>
      <c r="G39" s="394"/>
      <c r="H39" s="191"/>
      <c r="I39" s="88">
        <f t="shared" si="6"/>
        <v>0</v>
      </c>
      <c r="J39" s="84">
        <f>C39*I39</f>
        <v>0</v>
      </c>
      <c r="K39" s="35">
        <f t="shared" si="1"/>
        <v>0</v>
      </c>
      <c r="L39" s="7">
        <f t="shared" si="2"/>
        <v>0</v>
      </c>
      <c r="M39" s="62"/>
      <c r="N39" s="70"/>
      <c r="O39" s="71" t="str">
        <f t="shared" si="3"/>
        <v/>
      </c>
      <c r="P39" s="68">
        <f>Q39*C39</f>
        <v>0</v>
      </c>
      <c r="Q39" s="68">
        <f t="shared" si="7"/>
        <v>1E-4</v>
      </c>
      <c r="R39" s="66"/>
      <c r="S39" s="66">
        <f t="shared" si="8"/>
        <v>0</v>
      </c>
      <c r="T39" s="67">
        <f t="shared" si="9"/>
        <v>0</v>
      </c>
      <c r="U39" s="26">
        <f t="shared" si="17"/>
        <v>0</v>
      </c>
      <c r="V39" s="153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326">
        <f t="shared" ca="1" si="10"/>
        <v>0</v>
      </c>
      <c r="BB39" s="327">
        <f t="shared" ca="1" si="11"/>
        <v>0</v>
      </c>
      <c r="BD39" s="61">
        <f t="shared" si="12"/>
        <v>0</v>
      </c>
      <c r="BE39" s="214"/>
      <c r="BF39" s="305">
        <f t="shared" ca="1" si="13"/>
        <v>0</v>
      </c>
      <c r="BG39" s="217"/>
      <c r="BH39" s="215">
        <f t="shared" ca="1" si="18"/>
        <v>0</v>
      </c>
      <c r="BI39" s="61">
        <f t="shared" si="20"/>
        <v>0</v>
      </c>
      <c r="BJ39" s="218">
        <f t="shared" ca="1" si="14"/>
        <v>0</v>
      </c>
      <c r="BK39" s="216">
        <f ca="1">IFERROR(BJ39/$BE$3,0)</f>
        <v>0</v>
      </c>
      <c r="BL39" s="219">
        <f ca="1">SUMIFS(V39:AZ39,$V$6:$AZ$6,"пл")</f>
        <v>0</v>
      </c>
      <c r="BM39" s="220">
        <f t="shared" ca="1" si="15"/>
        <v>0</v>
      </c>
      <c r="BN39" s="221">
        <f t="shared" ca="1" si="16"/>
        <v>0</v>
      </c>
    </row>
    <row r="40" spans="1:66" s="6" customFormat="1" x14ac:dyDescent="0.25">
      <c r="A40" s="378"/>
      <c r="B40" s="372"/>
      <c r="C40" s="386"/>
      <c r="D40" s="93"/>
      <c r="E40" s="93"/>
      <c r="F40" s="93"/>
      <c r="G40" s="394"/>
      <c r="H40" s="191"/>
      <c r="I40" s="88">
        <f t="shared" si="6"/>
        <v>0</v>
      </c>
      <c r="J40" s="83">
        <f>C40*I40</f>
        <v>0</v>
      </c>
      <c r="K40" s="34">
        <f t="shared" si="1"/>
        <v>0</v>
      </c>
      <c r="L40" s="5">
        <f t="shared" si="2"/>
        <v>0</v>
      </c>
      <c r="M40" s="61"/>
      <c r="N40" s="70"/>
      <c r="O40" s="71" t="str">
        <f t="shared" si="3"/>
        <v/>
      </c>
      <c r="P40" s="68">
        <f>Q40*C40</f>
        <v>0</v>
      </c>
      <c r="Q40" s="68">
        <f t="shared" si="7"/>
        <v>1E-4</v>
      </c>
      <c r="R40" s="66"/>
      <c r="S40" s="66">
        <f t="shared" si="8"/>
        <v>0</v>
      </c>
      <c r="T40" s="67">
        <f t="shared" si="9"/>
        <v>0</v>
      </c>
      <c r="U40" s="26">
        <f t="shared" si="17"/>
        <v>0</v>
      </c>
      <c r="V40" s="153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326">
        <f t="shared" ca="1" si="10"/>
        <v>0</v>
      </c>
      <c r="BB40" s="327">
        <f t="shared" ca="1" si="11"/>
        <v>0</v>
      </c>
      <c r="BD40" s="61">
        <f t="shared" si="12"/>
        <v>0</v>
      </c>
      <c r="BE40" s="214"/>
      <c r="BF40" s="305">
        <f t="shared" ca="1" si="13"/>
        <v>0</v>
      </c>
      <c r="BG40" s="217"/>
      <c r="BH40" s="215">
        <f t="shared" ca="1" si="18"/>
        <v>0</v>
      </c>
      <c r="BI40" s="61">
        <f t="shared" si="20"/>
        <v>0</v>
      </c>
      <c r="BJ40" s="218">
        <f t="shared" ca="1" si="14"/>
        <v>0</v>
      </c>
      <c r="BK40" s="216">
        <f ca="1">IFERROR(BJ40/$BE$3,0)</f>
        <v>0</v>
      </c>
      <c r="BL40" s="219">
        <f ca="1">SUMIFS(V40:AZ40,$V$6:$AZ$6,"пл")</f>
        <v>0</v>
      </c>
      <c r="BM40" s="220">
        <f t="shared" ca="1" si="15"/>
        <v>0</v>
      </c>
      <c r="BN40" s="221">
        <f t="shared" ca="1" si="16"/>
        <v>0</v>
      </c>
    </row>
    <row r="41" spans="1:66" s="6" customFormat="1" ht="15.75" thickBot="1" x14ac:dyDescent="0.3">
      <c r="A41" s="382"/>
      <c r="B41" s="375"/>
      <c r="C41" s="388"/>
      <c r="D41" s="95"/>
      <c r="E41" s="95"/>
      <c r="F41" s="95"/>
      <c r="G41" s="395"/>
      <c r="H41" s="137"/>
      <c r="I41" s="88">
        <f t="shared" si="6"/>
        <v>0</v>
      </c>
      <c r="J41" s="85">
        <f>C41*I41</f>
        <v>0</v>
      </c>
      <c r="K41" s="36">
        <f t="shared" si="1"/>
        <v>0</v>
      </c>
      <c r="L41" s="13">
        <f t="shared" si="2"/>
        <v>0</v>
      </c>
      <c r="M41" s="63"/>
      <c r="N41" s="72"/>
      <c r="O41" s="73" t="str">
        <f t="shared" si="3"/>
        <v/>
      </c>
      <c r="P41" s="68">
        <f>Q41*C41</f>
        <v>0</v>
      </c>
      <c r="Q41" s="68">
        <f t="shared" si="7"/>
        <v>1E-4</v>
      </c>
      <c r="R41" s="66"/>
      <c r="S41" s="66">
        <f t="shared" si="8"/>
        <v>0</v>
      </c>
      <c r="T41" s="67">
        <f t="shared" si="9"/>
        <v>0</v>
      </c>
      <c r="U41" s="26">
        <f t="shared" si="17"/>
        <v>0</v>
      </c>
      <c r="V41" s="153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324">
        <f t="shared" ca="1" si="10"/>
        <v>0</v>
      </c>
      <c r="BB41" s="329">
        <f t="shared" ca="1" si="11"/>
        <v>0</v>
      </c>
      <c r="BD41" s="61">
        <f t="shared" si="12"/>
        <v>0</v>
      </c>
      <c r="BE41" s="242"/>
      <c r="BF41" s="509">
        <f t="shared" ca="1" si="13"/>
        <v>0</v>
      </c>
      <c r="BG41" s="217"/>
      <c r="BH41" s="215">
        <f t="shared" ca="1" si="18"/>
        <v>0</v>
      </c>
      <c r="BI41" s="61">
        <f t="shared" si="20"/>
        <v>0</v>
      </c>
      <c r="BJ41" s="240">
        <f t="shared" ca="1" si="14"/>
        <v>0</v>
      </c>
      <c r="BK41" s="241">
        <f ca="1">IFERROR(BJ41/$BE$3,0)</f>
        <v>0</v>
      </c>
      <c r="BL41" s="219">
        <f ca="1">SUMIFS(V41:AZ41,$V$6:$AZ$6,"пл")</f>
        <v>0</v>
      </c>
      <c r="BM41" s="510">
        <f t="shared" ca="1" si="15"/>
        <v>0</v>
      </c>
      <c r="BN41" s="244">
        <f t="shared" ca="1" si="16"/>
        <v>0</v>
      </c>
    </row>
    <row r="42" spans="1:66" s="1" customFormat="1" ht="15.75" thickBot="1" x14ac:dyDescent="0.3">
      <c r="A42" s="28" t="s">
        <v>3</v>
      </c>
      <c r="B42" s="82"/>
      <c r="C42" s="33"/>
      <c r="D42" s="82"/>
      <c r="E42" s="82"/>
      <c r="F42" s="82"/>
      <c r="G42" s="136"/>
      <c r="H42" s="136"/>
      <c r="I42" s="86"/>
      <c r="J42" s="28">
        <f>SUM(J8:J41)</f>
        <v>0</v>
      </c>
      <c r="K42" s="37">
        <f t="shared" si="1"/>
        <v>0</v>
      </c>
      <c r="L42" s="32">
        <f>IFERROR(ROUND(K42/$L$2,0),0)</f>
        <v>0</v>
      </c>
      <c r="M42" s="33">
        <f>IFERROR(ROUND(L42/L1,0),0)</f>
        <v>0</v>
      </c>
      <c r="N42" s="74">
        <f>SUM(N8:N41)</f>
        <v>0</v>
      </c>
      <c r="O42" s="75" t="str">
        <f t="shared" si="3"/>
        <v/>
      </c>
      <c r="U42" s="31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B42" s="331"/>
    </row>
    <row r="43" spans="1:66" s="31" customFormat="1" x14ac:dyDescent="0.25">
      <c r="A43" s="417" t="s">
        <v>89</v>
      </c>
      <c r="B43" s="418"/>
      <c r="C43" s="418"/>
      <c r="D43" s="418"/>
      <c r="E43" s="418"/>
      <c r="F43" s="419"/>
      <c r="G43" s="132"/>
      <c r="H43" s="132"/>
      <c r="I43" s="30"/>
      <c r="J43" s="29">
        <f>K43*L3</f>
        <v>7729.3333333333339</v>
      </c>
      <c r="K43" s="29">
        <f>L43*L2</f>
        <v>909.33333333333337</v>
      </c>
      <c r="L43" s="29">
        <f>M43*L1</f>
        <v>82.666666666666671</v>
      </c>
      <c r="M43" s="53">
        <f>L4/6*4</f>
        <v>20.666666666666668</v>
      </c>
      <c r="N43" s="1"/>
      <c r="O43" s="1"/>
      <c r="U43" s="89" t="s">
        <v>97</v>
      </c>
      <c r="V43" s="90">
        <f>V48-V46</f>
        <v>3</v>
      </c>
      <c r="W43" s="90">
        <f t="shared" ref="W43:AZ43" si="21">W48-W46</f>
        <v>2</v>
      </c>
      <c r="X43" s="90">
        <f t="shared" si="21"/>
        <v>2</v>
      </c>
      <c r="Y43" s="90">
        <f t="shared" si="21"/>
        <v>3</v>
      </c>
      <c r="Z43" s="90">
        <f t="shared" si="21"/>
        <v>3</v>
      </c>
      <c r="AA43" s="90">
        <f t="shared" si="21"/>
        <v>3</v>
      </c>
      <c r="AB43" s="90">
        <f t="shared" si="21"/>
        <v>3</v>
      </c>
      <c r="AC43" s="90">
        <f t="shared" si="21"/>
        <v>3</v>
      </c>
      <c r="AD43" s="90">
        <f t="shared" si="21"/>
        <v>2</v>
      </c>
      <c r="AE43" s="90">
        <f t="shared" si="21"/>
        <v>2</v>
      </c>
      <c r="AF43" s="90">
        <f t="shared" si="21"/>
        <v>3</v>
      </c>
      <c r="AG43" s="90">
        <f t="shared" si="21"/>
        <v>3</v>
      </c>
      <c r="AH43" s="90">
        <f t="shared" si="21"/>
        <v>4</v>
      </c>
      <c r="AI43" s="90">
        <f t="shared" si="21"/>
        <v>2</v>
      </c>
      <c r="AJ43" s="90">
        <f t="shared" si="21"/>
        <v>1</v>
      </c>
      <c r="AK43" s="90">
        <f t="shared" si="21"/>
        <v>2</v>
      </c>
      <c r="AL43" s="90">
        <f t="shared" si="21"/>
        <v>2</v>
      </c>
      <c r="AM43" s="90">
        <f t="shared" si="21"/>
        <v>3</v>
      </c>
      <c r="AN43" s="90">
        <f t="shared" si="21"/>
        <v>3</v>
      </c>
      <c r="AO43" s="90">
        <f t="shared" si="21"/>
        <v>3</v>
      </c>
      <c r="AP43" s="90">
        <f t="shared" si="21"/>
        <v>3</v>
      </c>
      <c r="AQ43" s="90">
        <f t="shared" si="21"/>
        <v>2.5</v>
      </c>
      <c r="AR43" s="90">
        <f t="shared" si="21"/>
        <v>2</v>
      </c>
      <c r="AS43" s="90">
        <f t="shared" si="21"/>
        <v>2</v>
      </c>
      <c r="AT43" s="90">
        <f t="shared" si="21"/>
        <v>3</v>
      </c>
      <c r="AU43" s="90">
        <f t="shared" si="21"/>
        <v>3</v>
      </c>
      <c r="AV43" s="90">
        <f t="shared" si="21"/>
        <v>3</v>
      </c>
      <c r="AW43" s="90">
        <f t="shared" si="21"/>
        <v>3</v>
      </c>
      <c r="AX43" s="90">
        <f t="shared" si="21"/>
        <v>3</v>
      </c>
      <c r="AY43" s="90">
        <f t="shared" si="21"/>
        <v>2.5</v>
      </c>
      <c r="AZ43" s="90">
        <f t="shared" si="21"/>
        <v>0</v>
      </c>
      <c r="BA43" s="90">
        <f>SUM(V43:AZ43)</f>
        <v>79</v>
      </c>
      <c r="BB43" s="333"/>
    </row>
    <row r="44" spans="1:66" s="1" customFormat="1" ht="15.75" thickBot="1" x14ac:dyDescent="0.3">
      <c r="B44" s="331"/>
      <c r="H44" s="1" t="s">
        <v>253</v>
      </c>
      <c r="L44" s="147">
        <f>IFERROR(L42/M1,0)</f>
        <v>0</v>
      </c>
      <c r="BB44" s="331"/>
    </row>
    <row r="45" spans="1:66" s="2" customFormat="1" ht="16.5" thickTop="1" thickBot="1" x14ac:dyDescent="0.3">
      <c r="U45" s="17" t="s">
        <v>67</v>
      </c>
      <c r="V45" s="92">
        <f>SUMPRODUCT(V8:V41/$Q$8:$Q$41)</f>
        <v>0</v>
      </c>
      <c r="W45" s="92">
        <f t="shared" ref="W45:AZ45" si="22">SUMPRODUCT(W8:W41/$Q$8:$Q$41)</f>
        <v>0</v>
      </c>
      <c r="X45" s="92">
        <f t="shared" si="22"/>
        <v>0</v>
      </c>
      <c r="Y45" s="92">
        <f t="shared" si="22"/>
        <v>0</v>
      </c>
      <c r="Z45" s="92">
        <f t="shared" si="22"/>
        <v>0</v>
      </c>
      <c r="AA45" s="92">
        <f t="shared" si="22"/>
        <v>0</v>
      </c>
      <c r="AB45" s="92">
        <f t="shared" si="22"/>
        <v>0</v>
      </c>
      <c r="AC45" s="92">
        <f t="shared" si="22"/>
        <v>0</v>
      </c>
      <c r="AD45" s="92">
        <f t="shared" si="22"/>
        <v>0</v>
      </c>
      <c r="AE45" s="92">
        <f t="shared" si="22"/>
        <v>0</v>
      </c>
      <c r="AF45" s="92">
        <f t="shared" si="22"/>
        <v>0</v>
      </c>
      <c r="AG45" s="92">
        <f t="shared" si="22"/>
        <v>0</v>
      </c>
      <c r="AH45" s="92">
        <f t="shared" si="22"/>
        <v>0</v>
      </c>
      <c r="AI45" s="92">
        <f t="shared" si="22"/>
        <v>0</v>
      </c>
      <c r="AJ45" s="92">
        <f t="shared" si="22"/>
        <v>0</v>
      </c>
      <c r="AK45" s="92">
        <f t="shared" si="22"/>
        <v>0</v>
      </c>
      <c r="AL45" s="92">
        <f t="shared" si="22"/>
        <v>0</v>
      </c>
      <c r="AM45" s="92">
        <f t="shared" si="22"/>
        <v>0</v>
      </c>
      <c r="AN45" s="92">
        <f t="shared" si="22"/>
        <v>0</v>
      </c>
      <c r="AO45" s="92">
        <f t="shared" si="22"/>
        <v>0</v>
      </c>
      <c r="AP45" s="92">
        <f t="shared" si="22"/>
        <v>0</v>
      </c>
      <c r="AQ45" s="92">
        <f t="shared" si="22"/>
        <v>0</v>
      </c>
      <c r="AR45" s="92">
        <f t="shared" si="22"/>
        <v>0</v>
      </c>
      <c r="AS45" s="92">
        <f t="shared" si="22"/>
        <v>0</v>
      </c>
      <c r="AT45" s="92">
        <f t="shared" si="22"/>
        <v>0</v>
      </c>
      <c r="AU45" s="92">
        <f t="shared" si="22"/>
        <v>0</v>
      </c>
      <c r="AV45" s="92">
        <f t="shared" si="22"/>
        <v>0</v>
      </c>
      <c r="AW45" s="92">
        <f t="shared" si="22"/>
        <v>0</v>
      </c>
      <c r="AX45" s="92">
        <f t="shared" si="22"/>
        <v>0</v>
      </c>
      <c r="AY45" s="92">
        <f t="shared" si="22"/>
        <v>0</v>
      </c>
      <c r="AZ45" s="92">
        <f t="shared" si="22"/>
        <v>0</v>
      </c>
      <c r="BA45" s="257">
        <f>SUM(V45:AZ45)</f>
        <v>0</v>
      </c>
      <c r="BB45" s="291"/>
    </row>
    <row r="46" spans="1:66" s="2" customFormat="1" ht="15.75" thickBot="1" x14ac:dyDescent="0.3">
      <c r="U46" s="22" t="s">
        <v>68</v>
      </c>
      <c r="V46" s="27">
        <f>ROUND(V45/$L$2,1)</f>
        <v>0</v>
      </c>
      <c r="W46" s="23">
        <f t="shared" ref="W46:AZ46" si="23">ROUND(W45/$L$2,1)</f>
        <v>0</v>
      </c>
      <c r="X46" s="23">
        <f t="shared" si="23"/>
        <v>0</v>
      </c>
      <c r="Y46" s="23">
        <f t="shared" si="23"/>
        <v>0</v>
      </c>
      <c r="Z46" s="23">
        <f t="shared" si="23"/>
        <v>0</v>
      </c>
      <c r="AA46" s="23">
        <f t="shared" si="23"/>
        <v>0</v>
      </c>
      <c r="AB46" s="23">
        <f t="shared" si="23"/>
        <v>0</v>
      </c>
      <c r="AC46" s="23">
        <f t="shared" si="23"/>
        <v>0</v>
      </c>
      <c r="AD46" s="23">
        <f t="shared" si="23"/>
        <v>0</v>
      </c>
      <c r="AE46" s="23">
        <f t="shared" si="23"/>
        <v>0</v>
      </c>
      <c r="AF46" s="23">
        <f t="shared" si="23"/>
        <v>0</v>
      </c>
      <c r="AG46" s="23">
        <f t="shared" si="23"/>
        <v>0</v>
      </c>
      <c r="AH46" s="23">
        <f t="shared" si="23"/>
        <v>0</v>
      </c>
      <c r="AI46" s="23">
        <f t="shared" si="23"/>
        <v>0</v>
      </c>
      <c r="AJ46" s="23">
        <f t="shared" si="23"/>
        <v>0</v>
      </c>
      <c r="AK46" s="23">
        <f t="shared" si="23"/>
        <v>0</v>
      </c>
      <c r="AL46" s="23">
        <f t="shared" si="23"/>
        <v>0</v>
      </c>
      <c r="AM46" s="23">
        <f t="shared" si="23"/>
        <v>0</v>
      </c>
      <c r="AN46" s="23">
        <f t="shared" si="23"/>
        <v>0</v>
      </c>
      <c r="AO46" s="23">
        <f t="shared" si="23"/>
        <v>0</v>
      </c>
      <c r="AP46" s="23">
        <f t="shared" si="23"/>
        <v>0</v>
      </c>
      <c r="AQ46" s="23">
        <f t="shared" si="23"/>
        <v>0</v>
      </c>
      <c r="AR46" s="23">
        <f t="shared" si="23"/>
        <v>0</v>
      </c>
      <c r="AS46" s="23">
        <f t="shared" si="23"/>
        <v>0</v>
      </c>
      <c r="AT46" s="23">
        <f t="shared" si="23"/>
        <v>0</v>
      </c>
      <c r="AU46" s="23">
        <f t="shared" si="23"/>
        <v>0</v>
      </c>
      <c r="AV46" s="23">
        <f t="shared" si="23"/>
        <v>0</v>
      </c>
      <c r="AW46" s="23">
        <f t="shared" si="23"/>
        <v>0</v>
      </c>
      <c r="AX46" s="23">
        <f t="shared" si="23"/>
        <v>0</v>
      </c>
      <c r="AY46" s="23">
        <f t="shared" si="23"/>
        <v>0</v>
      </c>
      <c r="AZ46" s="24">
        <f t="shared" si="23"/>
        <v>0</v>
      </c>
      <c r="BA46" s="260">
        <f>SUM(V46:AZ46)</f>
        <v>0</v>
      </c>
      <c r="BB46" s="291"/>
    </row>
    <row r="47" spans="1:66" s="2" customFormat="1" ht="15.75" thickBot="1" x14ac:dyDescent="0.3">
      <c r="A47" s="12"/>
      <c r="B47" s="12"/>
      <c r="U47" s="21" t="s">
        <v>69</v>
      </c>
      <c r="V47" s="21" t="str">
        <f>IF(V46=0, "",IF(V46&gt;V48, "!!!", "ок"))</f>
        <v/>
      </c>
      <c r="W47" s="21" t="str">
        <f t="shared" ref="W47:AZ47" si="24">IF(W46=0, "",IF(W46&gt;W48, "!!!", "ок"))</f>
        <v/>
      </c>
      <c r="X47" s="21" t="str">
        <f t="shared" si="24"/>
        <v/>
      </c>
      <c r="Y47" s="21" t="str">
        <f t="shared" si="24"/>
        <v/>
      </c>
      <c r="Z47" s="21" t="str">
        <f t="shared" si="24"/>
        <v/>
      </c>
      <c r="AA47" s="21" t="str">
        <f t="shared" si="24"/>
        <v/>
      </c>
      <c r="AB47" s="21" t="str">
        <f t="shared" si="24"/>
        <v/>
      </c>
      <c r="AC47" s="21" t="str">
        <f t="shared" si="24"/>
        <v/>
      </c>
      <c r="AD47" s="21" t="str">
        <f t="shared" si="24"/>
        <v/>
      </c>
      <c r="AE47" s="21" t="str">
        <f t="shared" si="24"/>
        <v/>
      </c>
      <c r="AF47" s="21" t="str">
        <f t="shared" si="24"/>
        <v/>
      </c>
      <c r="AG47" s="21" t="str">
        <f t="shared" si="24"/>
        <v/>
      </c>
      <c r="AH47" s="21" t="str">
        <f t="shared" si="24"/>
        <v/>
      </c>
      <c r="AI47" s="21" t="str">
        <f t="shared" si="24"/>
        <v/>
      </c>
      <c r="AJ47" s="21" t="str">
        <f t="shared" si="24"/>
        <v/>
      </c>
      <c r="AK47" s="21" t="str">
        <f t="shared" si="24"/>
        <v/>
      </c>
      <c r="AL47" s="21" t="str">
        <f t="shared" si="24"/>
        <v/>
      </c>
      <c r="AM47" s="21" t="str">
        <f t="shared" si="24"/>
        <v/>
      </c>
      <c r="AN47" s="21" t="str">
        <f t="shared" si="24"/>
        <v/>
      </c>
      <c r="AO47" s="21" t="str">
        <f t="shared" si="24"/>
        <v/>
      </c>
      <c r="AP47" s="21" t="str">
        <f t="shared" si="24"/>
        <v/>
      </c>
      <c r="AQ47" s="21" t="str">
        <f t="shared" si="24"/>
        <v/>
      </c>
      <c r="AR47" s="21" t="str">
        <f t="shared" si="24"/>
        <v/>
      </c>
      <c r="AS47" s="21" t="str">
        <f t="shared" si="24"/>
        <v/>
      </c>
      <c r="AT47" s="21" t="str">
        <f t="shared" si="24"/>
        <v/>
      </c>
      <c r="AU47" s="21" t="str">
        <f t="shared" si="24"/>
        <v/>
      </c>
      <c r="AV47" s="21" t="str">
        <f t="shared" si="24"/>
        <v/>
      </c>
      <c r="AW47" s="21" t="str">
        <f t="shared" si="24"/>
        <v/>
      </c>
      <c r="AX47" s="21" t="str">
        <f t="shared" si="24"/>
        <v/>
      </c>
      <c r="AY47" s="21" t="str">
        <f t="shared" si="24"/>
        <v/>
      </c>
      <c r="AZ47" s="21" t="str">
        <f t="shared" si="24"/>
        <v/>
      </c>
      <c r="BA47" s="258"/>
      <c r="BB47" s="293"/>
    </row>
    <row r="48" spans="1:66" s="3" customFormat="1" ht="29.25" customHeight="1" thickBot="1" x14ac:dyDescent="0.3">
      <c r="A48" s="52" t="s">
        <v>76</v>
      </c>
      <c r="B48" s="365"/>
      <c r="C48" s="52"/>
      <c r="D48" s="52"/>
      <c r="E48" s="52"/>
      <c r="F48" s="52"/>
      <c r="G48" s="52"/>
      <c r="H48" s="52"/>
      <c r="I48" s="52"/>
      <c r="J48" s="52" t="s">
        <v>10</v>
      </c>
      <c r="K48" s="52" t="s">
        <v>5</v>
      </c>
      <c r="L48" s="52" t="s">
        <v>6</v>
      </c>
      <c r="M48" s="52" t="s">
        <v>79</v>
      </c>
      <c r="N48" s="2"/>
      <c r="O48" s="2"/>
      <c r="U48" s="18" t="s">
        <v>66</v>
      </c>
      <c r="V48" s="19">
        <f>SUM(V49:V55)</f>
        <v>3</v>
      </c>
      <c r="W48" s="19">
        <f t="shared" ref="W48:AY48" si="25">SUM(W49:W55)</f>
        <v>2</v>
      </c>
      <c r="X48" s="19">
        <f t="shared" si="25"/>
        <v>2</v>
      </c>
      <c r="Y48" s="19">
        <f t="shared" si="25"/>
        <v>3</v>
      </c>
      <c r="Z48" s="19">
        <f t="shared" si="25"/>
        <v>3</v>
      </c>
      <c r="AA48" s="19">
        <f t="shared" si="25"/>
        <v>3</v>
      </c>
      <c r="AB48" s="19">
        <f t="shared" si="25"/>
        <v>3</v>
      </c>
      <c r="AC48" s="19">
        <f t="shared" si="25"/>
        <v>3</v>
      </c>
      <c r="AD48" s="19">
        <f t="shared" si="25"/>
        <v>2</v>
      </c>
      <c r="AE48" s="19">
        <f t="shared" si="25"/>
        <v>2</v>
      </c>
      <c r="AF48" s="19">
        <f t="shared" si="25"/>
        <v>3</v>
      </c>
      <c r="AG48" s="19">
        <f t="shared" si="25"/>
        <v>3</v>
      </c>
      <c r="AH48" s="19">
        <f t="shared" si="25"/>
        <v>4</v>
      </c>
      <c r="AI48" s="19">
        <f t="shared" si="25"/>
        <v>2</v>
      </c>
      <c r="AJ48" s="19">
        <f t="shared" si="25"/>
        <v>1</v>
      </c>
      <c r="AK48" s="19">
        <f t="shared" si="25"/>
        <v>2</v>
      </c>
      <c r="AL48" s="19">
        <f t="shared" si="25"/>
        <v>2</v>
      </c>
      <c r="AM48" s="19">
        <f t="shared" si="25"/>
        <v>3</v>
      </c>
      <c r="AN48" s="19">
        <f t="shared" si="25"/>
        <v>3</v>
      </c>
      <c r="AO48" s="19">
        <f t="shared" si="25"/>
        <v>3</v>
      </c>
      <c r="AP48" s="19">
        <f t="shared" si="25"/>
        <v>3</v>
      </c>
      <c r="AQ48" s="19">
        <f t="shared" si="25"/>
        <v>2.5</v>
      </c>
      <c r="AR48" s="19">
        <f t="shared" si="25"/>
        <v>2</v>
      </c>
      <c r="AS48" s="19">
        <f t="shared" si="25"/>
        <v>2</v>
      </c>
      <c r="AT48" s="19">
        <f t="shared" si="25"/>
        <v>3</v>
      </c>
      <c r="AU48" s="19">
        <f t="shared" si="25"/>
        <v>3</v>
      </c>
      <c r="AV48" s="19">
        <f t="shared" si="25"/>
        <v>3</v>
      </c>
      <c r="AW48" s="19">
        <f t="shared" si="25"/>
        <v>3</v>
      </c>
      <c r="AX48" s="19">
        <f t="shared" si="25"/>
        <v>3</v>
      </c>
      <c r="AY48" s="19">
        <f t="shared" si="25"/>
        <v>2.5</v>
      </c>
      <c r="AZ48" s="20"/>
      <c r="BA48" s="261">
        <f>SUM(V48:AZ48)</f>
        <v>79</v>
      </c>
      <c r="BB48" s="292"/>
    </row>
    <row r="49" spans="1:54" s="2" customFormat="1" x14ac:dyDescent="0.25">
      <c r="A49" s="8" t="s">
        <v>77</v>
      </c>
      <c r="B49" s="366"/>
      <c r="C49" s="8"/>
      <c r="D49" s="8"/>
      <c r="E49" s="8"/>
      <c r="F49" s="8"/>
      <c r="G49" s="8"/>
      <c r="H49" s="8"/>
      <c r="I49" s="8"/>
      <c r="J49" s="8">
        <f>N42</f>
        <v>0</v>
      </c>
      <c r="K49" s="8">
        <f>L49*L2</f>
        <v>0</v>
      </c>
      <c r="L49" s="50"/>
      <c r="M49" s="8">
        <f>IFERROR(J49/K49,0)</f>
        <v>0</v>
      </c>
      <c r="U49" s="96" t="s">
        <v>108</v>
      </c>
      <c r="V49" s="99">
        <v>1</v>
      </c>
      <c r="W49" s="98" t="s">
        <v>112</v>
      </c>
      <c r="X49" s="98" t="s">
        <v>112</v>
      </c>
      <c r="Y49" s="99">
        <v>1</v>
      </c>
      <c r="Z49" s="99">
        <v>1</v>
      </c>
      <c r="AA49" s="99">
        <v>1</v>
      </c>
      <c r="AB49" s="99">
        <v>1</v>
      </c>
      <c r="AC49" s="99">
        <v>1</v>
      </c>
      <c r="AD49" s="98" t="s">
        <v>112</v>
      </c>
      <c r="AE49" s="98" t="s">
        <v>112</v>
      </c>
      <c r="AF49" s="99">
        <v>1</v>
      </c>
      <c r="AG49" s="99">
        <v>1</v>
      </c>
      <c r="AH49" s="99">
        <v>1</v>
      </c>
      <c r="AI49" s="101" t="s">
        <v>112</v>
      </c>
      <c r="AJ49" s="98" t="s">
        <v>112</v>
      </c>
      <c r="AK49" s="98" t="s">
        <v>112</v>
      </c>
      <c r="AL49" s="98" t="s">
        <v>112</v>
      </c>
      <c r="AM49" s="102">
        <v>1</v>
      </c>
      <c r="AN49" s="99">
        <v>1</v>
      </c>
      <c r="AO49" s="99">
        <v>1</v>
      </c>
      <c r="AP49" s="99">
        <v>1</v>
      </c>
      <c r="AQ49" s="99">
        <v>0.5</v>
      </c>
      <c r="AR49" s="98" t="s">
        <v>112</v>
      </c>
      <c r="AS49" s="98" t="s">
        <v>112</v>
      </c>
      <c r="AT49" s="99">
        <v>1</v>
      </c>
      <c r="AU49" s="99">
        <v>1</v>
      </c>
      <c r="AV49" s="99">
        <v>1</v>
      </c>
      <c r="AW49" s="99">
        <v>1</v>
      </c>
      <c r="AX49" s="99">
        <v>1</v>
      </c>
      <c r="AY49" s="102">
        <v>0.5</v>
      </c>
      <c r="AZ49" s="49">
        <v>19</v>
      </c>
      <c r="BA49" s="259">
        <f>SUM(V49:AZ49)</f>
        <v>38</v>
      </c>
      <c r="BB49" s="292"/>
    </row>
    <row r="50" spans="1:54" s="2" customFormat="1" x14ac:dyDescent="0.25">
      <c r="A50" s="9" t="s">
        <v>7</v>
      </c>
      <c r="B50" s="367"/>
      <c r="C50" s="9"/>
      <c r="D50" s="9"/>
      <c r="E50" s="9"/>
      <c r="F50" s="9"/>
      <c r="G50" s="9"/>
      <c r="H50" s="9"/>
      <c r="I50" s="9"/>
      <c r="J50" s="10">
        <f>IFERROR(J49/J42,0)</f>
        <v>0</v>
      </c>
      <c r="K50" s="10">
        <f>IFERROR(K49/K42,0)</f>
        <v>0</v>
      </c>
      <c r="L50" s="10">
        <f>IFERROR(L49/L42,0)</f>
        <v>0</v>
      </c>
      <c r="M50" s="10">
        <f>IFERROR(M49/L3,0)</f>
        <v>0</v>
      </c>
      <c r="U50" s="96" t="s">
        <v>109</v>
      </c>
      <c r="V50" s="99">
        <v>1</v>
      </c>
      <c r="W50" s="99">
        <v>1</v>
      </c>
      <c r="X50" s="98" t="s">
        <v>112</v>
      </c>
      <c r="Y50" s="98" t="s">
        <v>112</v>
      </c>
      <c r="Z50" s="99">
        <v>1</v>
      </c>
      <c r="AA50" s="99">
        <v>1</v>
      </c>
      <c r="AB50" s="99">
        <v>1</v>
      </c>
      <c r="AC50" s="99">
        <v>1</v>
      </c>
      <c r="AD50" s="98" t="s">
        <v>112</v>
      </c>
      <c r="AE50" s="98" t="s">
        <v>112</v>
      </c>
      <c r="AF50" s="99">
        <v>1</v>
      </c>
      <c r="AG50" s="99">
        <v>1</v>
      </c>
      <c r="AH50" s="99">
        <v>1</v>
      </c>
      <c r="AI50" s="99">
        <v>1</v>
      </c>
      <c r="AJ50" s="98" t="s">
        <v>112</v>
      </c>
      <c r="AK50" s="102">
        <v>1</v>
      </c>
      <c r="AL50" s="99">
        <v>1</v>
      </c>
      <c r="AM50" s="101" t="s">
        <v>112</v>
      </c>
      <c r="AN50" s="99">
        <v>1</v>
      </c>
      <c r="AO50" s="99">
        <v>1</v>
      </c>
      <c r="AP50" s="98" t="s">
        <v>112</v>
      </c>
      <c r="AQ50" s="98" t="s">
        <v>112</v>
      </c>
      <c r="AR50" s="99">
        <v>1</v>
      </c>
      <c r="AS50" s="99">
        <v>1</v>
      </c>
      <c r="AT50" s="99">
        <v>1</v>
      </c>
      <c r="AU50" s="99">
        <v>1</v>
      </c>
      <c r="AV50" s="98" t="s">
        <v>112</v>
      </c>
      <c r="AW50" s="98" t="s">
        <v>112</v>
      </c>
      <c r="AX50" s="99">
        <v>1</v>
      </c>
      <c r="AY50" s="99">
        <v>1</v>
      </c>
      <c r="AZ50" s="49"/>
      <c r="BA50" s="254">
        <f t="shared" ref="BA50:BA55" si="26">SUM(V50:AZ50)</f>
        <v>20</v>
      </c>
      <c r="BB50" s="292"/>
    </row>
    <row r="51" spans="1:54" s="2" customFormat="1" x14ac:dyDescent="0.25">
      <c r="U51" s="96" t="s">
        <v>110</v>
      </c>
      <c r="V51" s="99">
        <v>1</v>
      </c>
      <c r="W51" s="101" t="s">
        <v>112</v>
      </c>
      <c r="X51" s="99">
        <v>1</v>
      </c>
      <c r="Y51" s="99">
        <v>1</v>
      </c>
      <c r="Z51" s="98" t="s">
        <v>112</v>
      </c>
      <c r="AA51" s="98" t="s">
        <v>112</v>
      </c>
      <c r="AB51" s="99">
        <v>1</v>
      </c>
      <c r="AC51" s="99">
        <v>1</v>
      </c>
      <c r="AD51" s="99">
        <v>1</v>
      </c>
      <c r="AE51" s="99">
        <v>1</v>
      </c>
      <c r="AF51" s="98" t="s">
        <v>112</v>
      </c>
      <c r="AG51" s="102">
        <v>1</v>
      </c>
      <c r="AH51" s="99">
        <v>1</v>
      </c>
      <c r="AI51" s="101" t="s">
        <v>112</v>
      </c>
      <c r="AJ51" s="98" t="s">
        <v>112</v>
      </c>
      <c r="AK51" s="98" t="s">
        <v>112</v>
      </c>
      <c r="AL51" s="98" t="s">
        <v>112</v>
      </c>
      <c r="AM51" s="102">
        <v>1</v>
      </c>
      <c r="AN51" s="99">
        <v>1</v>
      </c>
      <c r="AO51" s="99">
        <v>1</v>
      </c>
      <c r="AP51" s="99">
        <v>1</v>
      </c>
      <c r="AQ51" s="99">
        <v>1</v>
      </c>
      <c r="AR51" s="98" t="s">
        <v>112</v>
      </c>
      <c r="AS51" s="98" t="s">
        <v>112</v>
      </c>
      <c r="AT51" s="99">
        <v>1</v>
      </c>
      <c r="AU51" s="99">
        <v>1</v>
      </c>
      <c r="AV51" s="99">
        <v>1</v>
      </c>
      <c r="AW51" s="99">
        <v>1</v>
      </c>
      <c r="AX51" s="98" t="s">
        <v>112</v>
      </c>
      <c r="AY51" s="98" t="s">
        <v>112</v>
      </c>
      <c r="AZ51" s="49"/>
      <c r="BA51" s="254">
        <f t="shared" si="26"/>
        <v>18</v>
      </c>
      <c r="BB51" s="292"/>
    </row>
    <row r="52" spans="1:54" s="2" customFormat="1" x14ac:dyDescent="0.25">
      <c r="U52" s="96" t="s">
        <v>111</v>
      </c>
      <c r="V52" s="98" t="s">
        <v>112</v>
      </c>
      <c r="W52" s="102">
        <v>1</v>
      </c>
      <c r="X52" s="99">
        <v>1</v>
      </c>
      <c r="Y52" s="99">
        <v>1</v>
      </c>
      <c r="Z52" s="99">
        <v>1</v>
      </c>
      <c r="AA52" s="99">
        <v>1</v>
      </c>
      <c r="AB52" s="98" t="s">
        <v>112</v>
      </c>
      <c r="AC52" s="98" t="s">
        <v>112</v>
      </c>
      <c r="AD52" s="99">
        <v>1</v>
      </c>
      <c r="AE52" s="99">
        <v>1</v>
      </c>
      <c r="AF52" s="99">
        <v>1</v>
      </c>
      <c r="AG52" s="101" t="s">
        <v>112</v>
      </c>
      <c r="AH52" s="102">
        <v>1</v>
      </c>
      <c r="AI52" s="102">
        <v>1</v>
      </c>
      <c r="AJ52" s="101" t="s">
        <v>112</v>
      </c>
      <c r="AK52" s="101" t="s">
        <v>112</v>
      </c>
      <c r="AL52" s="99">
        <v>1</v>
      </c>
      <c r="AM52" s="99">
        <v>1</v>
      </c>
      <c r="AN52" s="98" t="s">
        <v>112</v>
      </c>
      <c r="AO52" s="98" t="s">
        <v>112</v>
      </c>
      <c r="AP52" s="99">
        <v>1</v>
      </c>
      <c r="AQ52" s="99">
        <v>1</v>
      </c>
      <c r="AR52" s="99">
        <v>1</v>
      </c>
      <c r="AS52" s="99">
        <v>1</v>
      </c>
      <c r="AT52" s="98" t="s">
        <v>112</v>
      </c>
      <c r="AU52" s="98" t="s">
        <v>112</v>
      </c>
      <c r="AV52" s="99">
        <v>1</v>
      </c>
      <c r="AW52" s="99">
        <v>1</v>
      </c>
      <c r="AX52" s="99">
        <v>1</v>
      </c>
      <c r="AY52" s="99">
        <v>1</v>
      </c>
      <c r="AZ52" s="49"/>
      <c r="BA52" s="254">
        <f t="shared" si="26"/>
        <v>20</v>
      </c>
      <c r="BB52" s="292"/>
    </row>
    <row r="53" spans="1:54" x14ac:dyDescent="0.25">
      <c r="A53" s="281" t="s">
        <v>315</v>
      </c>
      <c r="B53" s="368"/>
      <c r="C53" s="281" t="s">
        <v>316</v>
      </c>
      <c r="D53" s="281" t="s">
        <v>317</v>
      </c>
      <c r="U53" s="96" t="s">
        <v>63</v>
      </c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>
        <v>1</v>
      </c>
      <c r="AK53" s="49">
        <v>1</v>
      </c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254">
        <f t="shared" si="26"/>
        <v>2</v>
      </c>
      <c r="BB53" s="292"/>
    </row>
    <row r="54" spans="1:54" x14ac:dyDescent="0.25">
      <c r="A54" s="198" t="s">
        <v>291</v>
      </c>
      <c r="B54" s="369"/>
      <c r="C54" s="282"/>
      <c r="D54" s="280">
        <f>IFERROR(C54/$M$1,"")</f>
        <v>0</v>
      </c>
      <c r="U54" s="96" t="s">
        <v>64</v>
      </c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254">
        <f t="shared" si="26"/>
        <v>0</v>
      </c>
      <c r="BB54" s="292"/>
    </row>
    <row r="55" spans="1:54" ht="15.75" thickBot="1" x14ac:dyDescent="0.3">
      <c r="A55" s="198" t="s">
        <v>292</v>
      </c>
      <c r="B55" s="369"/>
      <c r="C55" s="282"/>
      <c r="D55" s="280">
        <f>IFERROR(C55/$M$1,"")</f>
        <v>0</v>
      </c>
      <c r="U55" s="96" t="s">
        <v>65</v>
      </c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255">
        <f t="shared" si="26"/>
        <v>0</v>
      </c>
      <c r="BB55" s="292"/>
    </row>
    <row r="56" spans="1:54" ht="15.75" thickTop="1" x14ac:dyDescent="0.25">
      <c r="A56" s="198" t="s">
        <v>293</v>
      </c>
      <c r="B56" s="369"/>
      <c r="C56" s="282"/>
      <c r="D56" s="280">
        <f>IFERROR(C56/$M$1,"")</f>
        <v>0</v>
      </c>
    </row>
    <row r="57" spans="1:54" ht="15.75" thickBot="1" x14ac:dyDescent="0.3">
      <c r="A57" s="198" t="s">
        <v>294</v>
      </c>
      <c r="B57" s="369"/>
      <c r="C57" s="282"/>
      <c r="D57" s="280">
        <f>IFERROR(C57/$M$1,"")</f>
        <v>0</v>
      </c>
      <c r="S57" s="181"/>
      <c r="T57" s="181"/>
      <c r="U57" s="414" t="s">
        <v>313</v>
      </c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4"/>
      <c r="AG57" s="414"/>
      <c r="AH57" s="414"/>
      <c r="AI57" s="414"/>
      <c r="AJ57" s="414"/>
      <c r="AK57" s="414"/>
      <c r="AL57" s="414"/>
      <c r="AM57" s="414"/>
      <c r="AN57" s="414"/>
      <c r="AO57" s="414"/>
      <c r="AP57" s="414"/>
      <c r="AQ57" s="414"/>
      <c r="AR57" s="414"/>
      <c r="AS57" s="414"/>
      <c r="AT57" s="414"/>
      <c r="AU57" s="414"/>
      <c r="AV57" s="414"/>
      <c r="AW57" s="414"/>
      <c r="AX57" s="414"/>
      <c r="AY57" s="414"/>
      <c r="AZ57" s="414"/>
      <c r="BA57" s="201"/>
      <c r="BB57" s="332"/>
    </row>
    <row r="58" spans="1:54" ht="16.5" customHeight="1" thickTop="1" thickBot="1" x14ac:dyDescent="0.3">
      <c r="A58" s="198" t="s">
        <v>295</v>
      </c>
      <c r="B58" s="369"/>
      <c r="C58" s="282"/>
      <c r="D58" s="280">
        <f>IFERROR(C58/$M$1,"")</f>
        <v>0</v>
      </c>
      <c r="R58" s="181"/>
      <c r="S58" s="415" t="s">
        <v>312</v>
      </c>
      <c r="T58" s="416"/>
      <c r="U58" s="246" t="s">
        <v>314</v>
      </c>
      <c r="V58" s="159">
        <v>1</v>
      </c>
      <c r="W58" s="57">
        <v>2</v>
      </c>
      <c r="X58" s="16">
        <v>3</v>
      </c>
      <c r="Y58" s="16">
        <v>4</v>
      </c>
      <c r="Z58" s="16">
        <v>5</v>
      </c>
      <c r="AA58" s="16">
        <v>6</v>
      </c>
      <c r="AB58" s="16">
        <v>7</v>
      </c>
      <c r="AC58" s="57">
        <v>8</v>
      </c>
      <c r="AD58" s="57">
        <v>9</v>
      </c>
      <c r="AE58" s="16">
        <v>10</v>
      </c>
      <c r="AF58" s="16">
        <v>11</v>
      </c>
      <c r="AG58" s="16">
        <v>12</v>
      </c>
      <c r="AH58" s="16">
        <v>13</v>
      </c>
      <c r="AI58" s="16">
        <v>14</v>
      </c>
      <c r="AJ58" s="57">
        <v>15</v>
      </c>
      <c r="AK58" s="57">
        <v>16</v>
      </c>
      <c r="AL58" s="16">
        <v>17</v>
      </c>
      <c r="AM58" s="16">
        <v>18</v>
      </c>
      <c r="AN58" s="16">
        <v>19</v>
      </c>
      <c r="AO58" s="16">
        <v>20</v>
      </c>
      <c r="AP58" s="16">
        <v>21</v>
      </c>
      <c r="AQ58" s="57">
        <v>22</v>
      </c>
      <c r="AR58" s="57">
        <v>23</v>
      </c>
      <c r="AS58" s="16">
        <v>24</v>
      </c>
      <c r="AT58" s="16">
        <v>25</v>
      </c>
      <c r="AU58" s="16">
        <v>26</v>
      </c>
      <c r="AV58" s="16">
        <v>27</v>
      </c>
      <c r="AW58" s="16">
        <v>28</v>
      </c>
      <c r="AX58" s="57">
        <v>29</v>
      </c>
      <c r="AY58" s="57">
        <v>30</v>
      </c>
      <c r="AZ58" s="253"/>
      <c r="BA58" s="256" t="s">
        <v>159</v>
      </c>
      <c r="BB58" s="292"/>
    </row>
    <row r="59" spans="1:54" x14ac:dyDescent="0.25">
      <c r="R59" s="181"/>
      <c r="S59" s="412"/>
      <c r="T59" s="413"/>
      <c r="U59" s="96" t="s">
        <v>108</v>
      </c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252"/>
      <c r="BA59" s="254">
        <f t="shared" ref="BA59:BA65" si="27">SUM(V59:AZ59)</f>
        <v>0</v>
      </c>
      <c r="BB59" s="292"/>
    </row>
    <row r="60" spans="1:54" x14ac:dyDescent="0.25">
      <c r="R60" s="181"/>
      <c r="S60" s="412"/>
      <c r="T60" s="413"/>
      <c r="U60" s="96" t="s">
        <v>109</v>
      </c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252"/>
      <c r="BA60" s="254">
        <f t="shared" si="27"/>
        <v>0</v>
      </c>
      <c r="BB60" s="292"/>
    </row>
    <row r="61" spans="1:54" x14ac:dyDescent="0.25">
      <c r="R61" s="181"/>
      <c r="S61" s="412"/>
      <c r="T61" s="413"/>
      <c r="U61" s="96" t="s">
        <v>110</v>
      </c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252"/>
      <c r="BA61" s="254">
        <f t="shared" si="27"/>
        <v>0</v>
      </c>
      <c r="BB61" s="292"/>
    </row>
    <row r="62" spans="1:54" x14ac:dyDescent="0.25">
      <c r="R62" s="181"/>
      <c r="S62" s="412"/>
      <c r="T62" s="413"/>
      <c r="U62" s="96" t="s">
        <v>111</v>
      </c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252"/>
      <c r="BA62" s="254">
        <f t="shared" si="27"/>
        <v>0</v>
      </c>
      <c r="BB62" s="292"/>
    </row>
    <row r="63" spans="1:54" x14ac:dyDescent="0.25">
      <c r="R63" s="181"/>
      <c r="S63" s="412"/>
      <c r="T63" s="413"/>
      <c r="U63" s="96" t="s">
        <v>63</v>
      </c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252"/>
      <c r="BA63" s="254">
        <f t="shared" si="27"/>
        <v>0</v>
      </c>
      <c r="BB63" s="292"/>
    </row>
    <row r="64" spans="1:54" x14ac:dyDescent="0.25">
      <c r="S64" s="412"/>
      <c r="T64" s="413"/>
      <c r="U64" s="96" t="s">
        <v>64</v>
      </c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252"/>
      <c r="BA64" s="254">
        <f t="shared" si="27"/>
        <v>0</v>
      </c>
      <c r="BB64" s="292"/>
    </row>
    <row r="65" spans="19:54" ht="15.75" thickBot="1" x14ac:dyDescent="0.3">
      <c r="S65" s="412"/>
      <c r="T65" s="413"/>
      <c r="U65" s="96" t="s">
        <v>65</v>
      </c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252"/>
      <c r="BA65" s="255">
        <f t="shared" si="27"/>
        <v>0</v>
      </c>
      <c r="BB65" s="292"/>
    </row>
    <row r="66" spans="19:54" ht="15.75" thickTop="1" x14ac:dyDescent="0.25"/>
  </sheetData>
  <mergeCells count="39">
    <mergeCell ref="G6:H6"/>
    <mergeCell ref="B5:B7"/>
    <mergeCell ref="A43:F43"/>
    <mergeCell ref="P6:P7"/>
    <mergeCell ref="P5:T5"/>
    <mergeCell ref="D6:F6"/>
    <mergeCell ref="Q6:Q7"/>
    <mergeCell ref="R6:R7"/>
    <mergeCell ref="S6:S7"/>
    <mergeCell ref="T6:T7"/>
    <mergeCell ref="N6:N7"/>
    <mergeCell ref="O6:O7"/>
    <mergeCell ref="A5:A7"/>
    <mergeCell ref="C5:M5"/>
    <mergeCell ref="N5:O5"/>
    <mergeCell ref="C6:C7"/>
    <mergeCell ref="I6:I7"/>
    <mergeCell ref="J6:J7"/>
    <mergeCell ref="K6:L6"/>
    <mergeCell ref="M6:M7"/>
    <mergeCell ref="BL5:BL7"/>
    <mergeCell ref="BM5:BN6"/>
    <mergeCell ref="BG5:BH6"/>
    <mergeCell ref="BI5:BI7"/>
    <mergeCell ref="BJ5:BK6"/>
    <mergeCell ref="S58:T58"/>
    <mergeCell ref="S59:T59"/>
    <mergeCell ref="S60:T60"/>
    <mergeCell ref="BD5:BD7"/>
    <mergeCell ref="BE5:BF6"/>
    <mergeCell ref="U5:U7"/>
    <mergeCell ref="U57:AZ57"/>
    <mergeCell ref="V5:AZ5"/>
    <mergeCell ref="BA5:BB5"/>
    <mergeCell ref="S61:T61"/>
    <mergeCell ref="S62:T62"/>
    <mergeCell ref="S63:T63"/>
    <mergeCell ref="S64:T64"/>
    <mergeCell ref="S65:T65"/>
  </mergeCells>
  <conditionalFormatting sqref="V49:AZ55">
    <cfRule type="cellIs" dxfId="91" priority="35" operator="equal">
      <formula>1</formula>
    </cfRule>
  </conditionalFormatting>
  <conditionalFormatting sqref="V47:AZ47">
    <cfRule type="cellIs" dxfId="90" priority="34" operator="equal">
      <formula>"!!!"</formula>
    </cfRule>
  </conditionalFormatting>
  <conditionalFormatting sqref="U8:U41">
    <cfRule type="cellIs" dxfId="89" priority="32" operator="lessThan">
      <formula>0</formula>
    </cfRule>
    <cfRule type="cellIs" dxfId="88" priority="33" operator="equal">
      <formula>0</formula>
    </cfRule>
  </conditionalFormatting>
  <conditionalFormatting sqref="V43:AZ43">
    <cfRule type="cellIs" dxfId="81" priority="16" operator="lessThan">
      <formula>-0.1</formula>
    </cfRule>
    <cfRule type="cellIs" dxfId="80" priority="17" operator="equal">
      <formula>0</formula>
    </cfRule>
  </conditionalFormatting>
  <conditionalFormatting sqref="U57">
    <cfRule type="cellIs" dxfId="79" priority="10" operator="equal">
      <formula>1</formula>
    </cfRule>
  </conditionalFormatting>
  <conditionalFormatting sqref="V59:AZ65">
    <cfRule type="cellIs" dxfId="78" priority="9" operator="equal">
      <formula>1</formula>
    </cfRule>
  </conditionalFormatting>
  <conditionalFormatting sqref="BF8:BF41 BD8:BD41 BH8:BM41">
    <cfRule type="cellIs" dxfId="77" priority="12" operator="equal">
      <formula>0</formula>
    </cfRule>
  </conditionalFormatting>
  <conditionalFormatting sqref="BN8:BN41">
    <cfRule type="cellIs" dxfId="76" priority="11" operator="equal">
      <formula>0</formula>
    </cfRule>
  </conditionalFormatting>
  <conditionalFormatting sqref="BA43:BB43">
    <cfRule type="cellIs" dxfId="75" priority="7" operator="lessThan">
      <formula>-0.1</formula>
    </cfRule>
    <cfRule type="cellIs" dxfId="74" priority="8" operator="equal">
      <formula>0</formula>
    </cfRule>
  </conditionalFormatting>
  <conditionalFormatting sqref="V6:AZ6">
    <cfRule type="containsText" dxfId="73" priority="5" operator="containsText" text="пл">
      <formula>NOT(ISERROR(SEARCH("пл",V6)))</formula>
    </cfRule>
    <cfRule type="containsText" dxfId="72" priority="6" operator="containsText" text="ф">
      <formula>NOT(ISERROR(SEARCH("ф",V6)))</formula>
    </cfRule>
  </conditionalFormatting>
  <conditionalFormatting sqref="BA6">
    <cfRule type="containsText" dxfId="71" priority="1" operator="containsText" text="пл">
      <formula>NOT(ISERROR(SEARCH("пл",BA6)))</formula>
    </cfRule>
    <cfRule type="containsText" dxfId="70" priority="2" operator="containsText" text="ф">
      <formula>NOT(ISERROR(SEARCH("ф",BA6)))</formula>
    </cfRule>
  </conditionalFormatting>
  <conditionalFormatting sqref="BB6">
    <cfRule type="containsText" dxfId="69" priority="3" operator="containsText" text="пл">
      <formula>NOT(ISERROR(SEARCH("пл",BB6)))</formula>
    </cfRule>
    <cfRule type="containsText" dxfId="68" priority="4" operator="containsText" text="ф">
      <formula>NOT(ISERROR(SEARCH("ф",BB6)))</formula>
    </cfRule>
  </conditionalFormatting>
  <dataValidations count="1">
    <dataValidation type="list" allowBlank="1" showInputMessage="1" showErrorMessage="1" sqref="BG3" xr:uid="{00000000-0002-0000-0200-000000000000}">
      <formula1>$CD$1:$CD$2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D56"/>
  <sheetViews>
    <sheetView workbookViewId="0">
      <pane xSplit="1" ySplit="7" topLeftCell="AO8" activePane="bottomRight" state="frozen"/>
      <selection pane="topRight" activeCell="B1" sqref="B1"/>
      <selection pane="bottomLeft" activeCell="A6" sqref="A6"/>
      <selection pane="bottomRight" activeCell="BM8" sqref="BM8"/>
    </sheetView>
  </sheetViews>
  <sheetFormatPr defaultRowHeight="15" outlineLevelCol="1" x14ac:dyDescent="0.25"/>
  <cols>
    <col min="1" max="1" width="38" customWidth="1"/>
    <col min="2" max="7" width="8.85546875" customWidth="1"/>
    <col min="8" max="8" width="8.7109375" customWidth="1"/>
    <col min="9" max="9" width="9.28515625" customWidth="1"/>
    <col min="10" max="11" width="9.7109375" customWidth="1"/>
    <col min="12" max="12" width="12.28515625" customWidth="1"/>
    <col min="13" max="13" width="9.7109375" customWidth="1"/>
    <col min="14" max="14" width="11.7109375" customWidth="1"/>
    <col min="15" max="16" width="9.5703125" customWidth="1" outlineLevel="1"/>
    <col min="17" max="17" width="12" customWidth="1" outlineLevel="1"/>
    <col min="18" max="18" width="10.28515625" customWidth="1" outlineLevel="1"/>
    <col min="19" max="19" width="9.140625" customWidth="1" outlineLevel="1"/>
    <col min="20" max="20" width="15.42578125" customWidth="1"/>
    <col min="21" max="21" width="4.5703125" style="2" customWidth="1"/>
    <col min="22" max="22" width="4.7109375" style="2" customWidth="1"/>
    <col min="23" max="51" width="4.85546875" style="2" customWidth="1"/>
    <col min="52" max="52" width="6.140625" customWidth="1"/>
    <col min="53" max="53" width="6.140625" style="330" customWidth="1"/>
    <col min="54" max="54" width="11.42578125" customWidth="1"/>
    <col min="60" max="60" width="10.5703125" customWidth="1"/>
    <col min="61" max="62" width="9.7109375" customWidth="1"/>
  </cols>
  <sheetData>
    <row r="1" spans="1:82" ht="19.5" thickBot="1" x14ac:dyDescent="0.35">
      <c r="A1" s="51" t="s">
        <v>100</v>
      </c>
      <c r="J1" s="25" t="s">
        <v>4</v>
      </c>
      <c r="K1" s="42">
        <v>3</v>
      </c>
      <c r="L1" s="42">
        <v>2</v>
      </c>
      <c r="M1" s="58" t="s">
        <v>98</v>
      </c>
      <c r="BC1" s="202" t="s">
        <v>296</v>
      </c>
      <c r="BD1" s="203">
        <f ca="1">TODAY()</f>
        <v>43371</v>
      </c>
      <c r="BE1" s="181"/>
      <c r="BF1" s="181"/>
      <c r="BG1" s="181"/>
      <c r="BH1" s="181"/>
      <c r="BI1" s="181"/>
      <c r="BJ1" s="181"/>
      <c r="BK1" s="181"/>
      <c r="BL1" s="181"/>
      <c r="BM1" s="181"/>
      <c r="CD1" s="2" t="s">
        <v>414</v>
      </c>
    </row>
    <row r="2" spans="1:82" ht="19.5" thickBot="1" x14ac:dyDescent="0.35">
      <c r="A2" s="233">
        <v>43374</v>
      </c>
      <c r="J2" s="25" t="s">
        <v>2</v>
      </c>
      <c r="K2" s="43">
        <v>11</v>
      </c>
      <c r="BC2" s="202" t="s">
        <v>297</v>
      </c>
      <c r="BD2" s="239">
        <f ca="1">BD1-A2</f>
        <v>-3</v>
      </c>
      <c r="BE2" s="181"/>
      <c r="BF2" s="392" t="s">
        <v>416</v>
      </c>
      <c r="BG2" s="181"/>
      <c r="BH2" s="181"/>
      <c r="BI2" s="181"/>
      <c r="BJ2" s="181"/>
      <c r="BK2" s="181"/>
      <c r="BL2" s="181"/>
      <c r="BM2" s="181"/>
      <c r="CD2" s="2" t="s">
        <v>415</v>
      </c>
    </row>
    <row r="3" spans="1:82" ht="16.5" thickBot="1" x14ac:dyDescent="0.3">
      <c r="A3" s="322" t="s">
        <v>361</v>
      </c>
      <c r="J3" s="25" t="s">
        <v>104</v>
      </c>
      <c r="K3" s="42">
        <v>24.5</v>
      </c>
      <c r="BC3" s="202" t="s">
        <v>298</v>
      </c>
      <c r="BD3" s="232">
        <f ca="1">K4-BD2</f>
        <v>34</v>
      </c>
      <c r="BE3" s="181"/>
      <c r="BF3" s="393" t="s">
        <v>415</v>
      </c>
      <c r="BG3" s="181"/>
      <c r="BH3" s="181"/>
      <c r="BI3" s="181"/>
      <c r="BJ3" s="181"/>
      <c r="BK3" s="181"/>
      <c r="BL3" s="181"/>
      <c r="BM3" s="181"/>
    </row>
    <row r="4" spans="1:82" ht="19.5" thickBot="1" x14ac:dyDescent="0.35">
      <c r="A4" s="11"/>
      <c r="J4" s="25" t="s">
        <v>78</v>
      </c>
      <c r="K4" s="42">
        <v>31</v>
      </c>
      <c r="U4" s="297" t="s">
        <v>356</v>
      </c>
      <c r="BC4" s="113" t="s">
        <v>354</v>
      </c>
      <c r="BD4" s="181"/>
      <c r="BE4" s="181"/>
      <c r="BF4" s="181"/>
      <c r="BG4" s="181"/>
      <c r="BH4" s="181"/>
      <c r="BI4" s="181"/>
      <c r="BJ4" s="181"/>
      <c r="BK4" s="181"/>
      <c r="BL4" s="181"/>
      <c r="BM4" s="181"/>
    </row>
    <row r="5" spans="1:82" ht="16.5" customHeight="1" thickTop="1" thickBot="1" x14ac:dyDescent="0.3">
      <c r="A5" s="429" t="s">
        <v>318</v>
      </c>
      <c r="B5" s="491" t="s">
        <v>60</v>
      </c>
      <c r="C5" s="426"/>
      <c r="D5" s="426"/>
      <c r="E5" s="426"/>
      <c r="F5" s="426"/>
      <c r="G5" s="426"/>
      <c r="H5" s="426"/>
      <c r="I5" s="426"/>
      <c r="J5" s="492"/>
      <c r="K5" s="493"/>
      <c r="L5" s="492"/>
      <c r="M5" s="438" t="s">
        <v>75</v>
      </c>
      <c r="N5" s="439"/>
      <c r="O5" s="489" t="s">
        <v>84</v>
      </c>
      <c r="P5" s="489"/>
      <c r="Q5" s="489"/>
      <c r="R5" s="489"/>
      <c r="S5" s="490"/>
      <c r="T5" s="472" t="s">
        <v>80</v>
      </c>
      <c r="U5" s="469" t="s">
        <v>81</v>
      </c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1"/>
      <c r="AZ5" s="466" t="s">
        <v>359</v>
      </c>
      <c r="BA5" s="467"/>
      <c r="BC5" s="446" t="s">
        <v>309</v>
      </c>
      <c r="BD5" s="449" t="s">
        <v>300</v>
      </c>
      <c r="BE5" s="451"/>
      <c r="BF5" s="455" t="s">
        <v>301</v>
      </c>
      <c r="BG5" s="456"/>
      <c r="BH5" s="459" t="s">
        <v>302</v>
      </c>
      <c r="BI5" s="460" t="s">
        <v>310</v>
      </c>
      <c r="BJ5" s="462"/>
      <c r="BK5" s="468" t="str">
        <f ca="1">CONCATENATE("План пр-ва с ", BD2+1," по ", K4, "-е, шт")</f>
        <v>План пр-ва с -2 по 31-е, шт</v>
      </c>
      <c r="BL5" s="442" t="s">
        <v>348</v>
      </c>
      <c r="BM5" s="443"/>
    </row>
    <row r="6" spans="1:82" s="3" customFormat="1" ht="15.75" customHeight="1" thickTop="1" x14ac:dyDescent="0.25">
      <c r="A6" s="430"/>
      <c r="B6" s="494" t="s">
        <v>82</v>
      </c>
      <c r="C6" s="427" t="s">
        <v>233</v>
      </c>
      <c r="D6" s="428"/>
      <c r="E6" s="428"/>
      <c r="F6" s="505" t="s">
        <v>234</v>
      </c>
      <c r="G6" s="441"/>
      <c r="H6" s="434" t="s">
        <v>93</v>
      </c>
      <c r="I6" s="433" t="s">
        <v>101</v>
      </c>
      <c r="J6" s="487" t="s">
        <v>70</v>
      </c>
      <c r="K6" s="431"/>
      <c r="L6" s="427" t="s">
        <v>73</v>
      </c>
      <c r="M6" s="436" t="s">
        <v>103</v>
      </c>
      <c r="N6" s="437" t="s">
        <v>74</v>
      </c>
      <c r="O6" s="421" t="s">
        <v>102</v>
      </c>
      <c r="P6" s="421" t="s">
        <v>96</v>
      </c>
      <c r="Q6" s="440" t="s">
        <v>94</v>
      </c>
      <c r="R6" s="440" t="s">
        <v>95</v>
      </c>
      <c r="S6" s="420" t="s">
        <v>85</v>
      </c>
      <c r="T6" s="473"/>
      <c r="U6" s="334" t="str">
        <f t="shared" ref="U6:AY6" ca="1" si="0">IF(U7&gt;$BD$2, "пл", "ф")</f>
        <v>пл</v>
      </c>
      <c r="V6" s="335" t="str">
        <f t="shared" ca="1" si="0"/>
        <v>пл</v>
      </c>
      <c r="W6" s="335" t="str">
        <f t="shared" ca="1" si="0"/>
        <v>пл</v>
      </c>
      <c r="X6" s="335" t="str">
        <f t="shared" ca="1" si="0"/>
        <v>пл</v>
      </c>
      <c r="Y6" s="335" t="str">
        <f t="shared" ca="1" si="0"/>
        <v>пл</v>
      </c>
      <c r="Z6" s="335" t="str">
        <f t="shared" ca="1" si="0"/>
        <v>пл</v>
      </c>
      <c r="AA6" s="335" t="str">
        <f t="shared" ca="1" si="0"/>
        <v>пл</v>
      </c>
      <c r="AB6" s="335" t="str">
        <f t="shared" ca="1" si="0"/>
        <v>пл</v>
      </c>
      <c r="AC6" s="335" t="str">
        <f t="shared" ca="1" si="0"/>
        <v>пл</v>
      </c>
      <c r="AD6" s="335" t="str">
        <f t="shared" ca="1" si="0"/>
        <v>пл</v>
      </c>
      <c r="AE6" s="335" t="str">
        <f t="shared" ca="1" si="0"/>
        <v>пл</v>
      </c>
      <c r="AF6" s="335" t="str">
        <f t="shared" ca="1" si="0"/>
        <v>пл</v>
      </c>
      <c r="AG6" s="335" t="str">
        <f t="shared" ca="1" si="0"/>
        <v>пл</v>
      </c>
      <c r="AH6" s="335" t="str">
        <f t="shared" ca="1" si="0"/>
        <v>пл</v>
      </c>
      <c r="AI6" s="335" t="str">
        <f t="shared" ca="1" si="0"/>
        <v>пл</v>
      </c>
      <c r="AJ6" s="335" t="str">
        <f t="shared" ca="1" si="0"/>
        <v>пл</v>
      </c>
      <c r="AK6" s="335" t="str">
        <f t="shared" ca="1" si="0"/>
        <v>пл</v>
      </c>
      <c r="AL6" s="335" t="str">
        <f t="shared" ca="1" si="0"/>
        <v>пл</v>
      </c>
      <c r="AM6" s="335" t="str">
        <f t="shared" ca="1" si="0"/>
        <v>пл</v>
      </c>
      <c r="AN6" s="335" t="str">
        <f t="shared" ca="1" si="0"/>
        <v>пл</v>
      </c>
      <c r="AO6" s="335" t="str">
        <f t="shared" ca="1" si="0"/>
        <v>пл</v>
      </c>
      <c r="AP6" s="335" t="str">
        <f t="shared" ca="1" si="0"/>
        <v>пл</v>
      </c>
      <c r="AQ6" s="335" t="str">
        <f t="shared" ca="1" si="0"/>
        <v>пл</v>
      </c>
      <c r="AR6" s="335" t="str">
        <f t="shared" ca="1" si="0"/>
        <v>пл</v>
      </c>
      <c r="AS6" s="335" t="str">
        <f t="shared" ca="1" si="0"/>
        <v>пл</v>
      </c>
      <c r="AT6" s="335" t="str">
        <f t="shared" ca="1" si="0"/>
        <v>пл</v>
      </c>
      <c r="AU6" s="335" t="str">
        <f t="shared" ca="1" si="0"/>
        <v>пл</v>
      </c>
      <c r="AV6" s="335" t="str">
        <f t="shared" ca="1" si="0"/>
        <v>пл</v>
      </c>
      <c r="AW6" s="335" t="str">
        <f t="shared" ca="1" si="0"/>
        <v>пл</v>
      </c>
      <c r="AX6" s="335" t="str">
        <f t="shared" ca="1" si="0"/>
        <v>пл</v>
      </c>
      <c r="AY6" s="336" t="str">
        <f t="shared" ca="1" si="0"/>
        <v>пл</v>
      </c>
      <c r="AZ6" s="307" t="s">
        <v>351</v>
      </c>
      <c r="BA6" s="308" t="s">
        <v>352</v>
      </c>
      <c r="BC6" s="447"/>
      <c r="BD6" s="452"/>
      <c r="BE6" s="454"/>
      <c r="BF6" s="457"/>
      <c r="BG6" s="458"/>
      <c r="BH6" s="459"/>
      <c r="BI6" s="463"/>
      <c r="BJ6" s="465"/>
      <c r="BK6" s="468"/>
      <c r="BL6" s="444"/>
      <c r="BM6" s="445"/>
    </row>
    <row r="7" spans="1:82" s="3" customFormat="1" ht="45" x14ac:dyDescent="0.25">
      <c r="A7" s="431"/>
      <c r="B7" s="427"/>
      <c r="C7" s="103" t="s">
        <v>86</v>
      </c>
      <c r="D7" s="103" t="s">
        <v>87</v>
      </c>
      <c r="E7" s="103" t="s">
        <v>88</v>
      </c>
      <c r="F7" s="506" t="s">
        <v>417</v>
      </c>
      <c r="G7" s="87" t="s">
        <v>235</v>
      </c>
      <c r="H7" s="435"/>
      <c r="I7" s="433"/>
      <c r="J7" s="81" t="s">
        <v>0</v>
      </c>
      <c r="K7" s="80" t="s">
        <v>1</v>
      </c>
      <c r="L7" s="427"/>
      <c r="M7" s="436"/>
      <c r="N7" s="437"/>
      <c r="O7" s="421"/>
      <c r="P7" s="421"/>
      <c r="Q7" s="440"/>
      <c r="R7" s="440"/>
      <c r="S7" s="420"/>
      <c r="T7" s="473"/>
      <c r="U7" s="97">
        <v>1</v>
      </c>
      <c r="V7" s="57">
        <v>2</v>
      </c>
      <c r="W7" s="16">
        <v>3</v>
      </c>
      <c r="X7" s="16">
        <v>4</v>
      </c>
      <c r="Y7" s="16">
        <v>5</v>
      </c>
      <c r="Z7" s="16">
        <v>6</v>
      </c>
      <c r="AA7" s="16">
        <v>7</v>
      </c>
      <c r="AB7" s="57">
        <v>8</v>
      </c>
      <c r="AC7" s="57">
        <v>9</v>
      </c>
      <c r="AD7" s="16">
        <v>10</v>
      </c>
      <c r="AE7" s="16">
        <v>11</v>
      </c>
      <c r="AF7" s="16">
        <v>12</v>
      </c>
      <c r="AG7" s="16">
        <v>13</v>
      </c>
      <c r="AH7" s="16">
        <v>14</v>
      </c>
      <c r="AI7" s="57">
        <v>15</v>
      </c>
      <c r="AJ7" s="57">
        <v>16</v>
      </c>
      <c r="AK7" s="16">
        <v>17</v>
      </c>
      <c r="AL7" s="16">
        <v>18</v>
      </c>
      <c r="AM7" s="16">
        <v>19</v>
      </c>
      <c r="AN7" s="16">
        <v>20</v>
      </c>
      <c r="AO7" s="16">
        <v>21</v>
      </c>
      <c r="AP7" s="57">
        <v>22</v>
      </c>
      <c r="AQ7" s="57">
        <v>23</v>
      </c>
      <c r="AR7" s="16">
        <v>24</v>
      </c>
      <c r="AS7" s="16">
        <v>25</v>
      </c>
      <c r="AT7" s="16">
        <v>26</v>
      </c>
      <c r="AU7" s="16">
        <v>27</v>
      </c>
      <c r="AV7" s="16">
        <v>28</v>
      </c>
      <c r="AW7" s="57">
        <v>29</v>
      </c>
      <c r="AX7" s="57">
        <v>30</v>
      </c>
      <c r="AY7" s="16">
        <v>31</v>
      </c>
      <c r="AZ7" s="309" t="s">
        <v>357</v>
      </c>
      <c r="BA7" s="310" t="s">
        <v>358</v>
      </c>
      <c r="BC7" s="448"/>
      <c r="BD7" s="205" t="s">
        <v>304</v>
      </c>
      <c r="BE7" s="207" t="s">
        <v>308</v>
      </c>
      <c r="BF7" s="208" t="s">
        <v>304</v>
      </c>
      <c r="BG7" s="209" t="s">
        <v>307</v>
      </c>
      <c r="BH7" s="459"/>
      <c r="BI7" s="210" t="s">
        <v>304</v>
      </c>
      <c r="BJ7" s="212" t="s">
        <v>308</v>
      </c>
      <c r="BK7" s="468"/>
      <c r="BL7" s="407" t="s">
        <v>349</v>
      </c>
      <c r="BM7" s="405" t="s">
        <v>418</v>
      </c>
    </row>
    <row r="8" spans="1:82" s="6" customFormat="1" x14ac:dyDescent="0.25">
      <c r="A8" s="144" t="s">
        <v>45</v>
      </c>
      <c r="B8" s="386">
        <v>0.3</v>
      </c>
      <c r="C8" s="93"/>
      <c r="D8" s="93"/>
      <c r="E8" s="93"/>
      <c r="F8" s="396"/>
      <c r="G8" s="133"/>
      <c r="H8" s="88">
        <f>IF($BF$3="да",AZ8+BA8,IF((SUM(C8:E8)-F8+G8)&lt;0,0,SUM(C8:E8)-F8+G8))</f>
        <v>0</v>
      </c>
      <c r="I8" s="83">
        <f>B8*H8</f>
        <v>0</v>
      </c>
      <c r="J8" s="34">
        <f t="shared" ref="J8:J31" si="1">IFERROR(I8/$K$3,0)</f>
        <v>0</v>
      </c>
      <c r="K8" s="5">
        <f t="shared" ref="K8:K31" si="2">IFERROR(ROUND(J8/$K$2,0),0)</f>
        <v>0</v>
      </c>
      <c r="L8" s="61"/>
      <c r="M8" s="70"/>
      <c r="N8" s="71" t="str">
        <f t="shared" ref="N8:N32" si="3">IFERROR(M8/I8,"")</f>
        <v/>
      </c>
      <c r="O8" s="68">
        <f>P8*B8</f>
        <v>24.545454545454543</v>
      </c>
      <c r="P8" s="68">
        <f>IF(Q8=0,0.0001,IFERROR(Q8/$K$2,0.0001))</f>
        <v>81.818181818181813</v>
      </c>
      <c r="Q8" s="66">
        <v>900</v>
      </c>
      <c r="R8" s="66">
        <f>Q8*$L$1</f>
        <v>1800</v>
      </c>
      <c r="S8" s="67">
        <f>IFERROR(T8/R8,0)</f>
        <v>0</v>
      </c>
      <c r="T8" s="26">
        <f>IF($BF$3="да", BL8, H8-SUM(U8:AY8))</f>
        <v>0</v>
      </c>
      <c r="U8" s="44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311">
        <f ca="1">SUMIFS(U8:AY8,$U$6:$AY$6,"ф")</f>
        <v>0</v>
      </c>
      <c r="BA8" s="312">
        <f ca="1">SUMIFS(U8:AY8,$U$6:$AY$6,"пл")</f>
        <v>0</v>
      </c>
      <c r="BC8" s="61">
        <f>IFERROR(SUM(C8:E8)/$K$4,0)</f>
        <v>0</v>
      </c>
      <c r="BD8" s="214"/>
      <c r="BE8" s="216">
        <f ca="1">IFERROR(BD8/$BD$2,0)</f>
        <v>0</v>
      </c>
      <c r="BF8" s="217"/>
      <c r="BG8" s="215">
        <f ca="1">IFERROR(BF8/BE8,0)</f>
        <v>0</v>
      </c>
      <c r="BH8" s="61">
        <f t="shared" ref="BH8:BH19" si="4">G8</f>
        <v>0</v>
      </c>
      <c r="BI8" s="218">
        <f ca="1">IF(BE8*$BD$3-BF8+BH8&lt;0,0,BE8*$BD$3-BF8+BH8)</f>
        <v>0</v>
      </c>
      <c r="BJ8" s="216">
        <f ca="1">IFERROR(BI8/$BD$3,0)</f>
        <v>0</v>
      </c>
      <c r="BK8" s="219">
        <f ca="1">SUMIFS(U8:AY8,$U$6:$AY$6,"пл")</f>
        <v>0</v>
      </c>
      <c r="BL8" s="220">
        <f ca="1">IF(BI8&lt;0,BK8*-1, BI8-BK8)</f>
        <v>0</v>
      </c>
      <c r="BM8" s="221">
        <f ca="1">IFERROR(ROUND(BE8*($BD$3+$BD$2)-SUM(C8:E8), 1),0)</f>
        <v>0</v>
      </c>
    </row>
    <row r="9" spans="1:82" s="6" customFormat="1" x14ac:dyDescent="0.25">
      <c r="A9" s="144" t="s">
        <v>43</v>
      </c>
      <c r="B9" s="386">
        <v>0.3</v>
      </c>
      <c r="C9" s="93"/>
      <c r="D9" s="93"/>
      <c r="E9" s="93"/>
      <c r="F9" s="396"/>
      <c r="G9" s="133"/>
      <c r="H9" s="88">
        <f t="shared" ref="H9:H31" si="5">IF($BF$3="да",AZ9+BA9,IF((SUM(C9:E9)-F9+G9)&lt;0,0,SUM(C9:E9)-F9+G9))</f>
        <v>0</v>
      </c>
      <c r="I9" s="83">
        <f>B9*H9</f>
        <v>0</v>
      </c>
      <c r="J9" s="34">
        <f t="shared" si="1"/>
        <v>0</v>
      </c>
      <c r="K9" s="5">
        <f t="shared" si="2"/>
        <v>0</v>
      </c>
      <c r="L9" s="61"/>
      <c r="M9" s="70"/>
      <c r="N9" s="71" t="str">
        <f t="shared" si="3"/>
        <v/>
      </c>
      <c r="O9" s="68">
        <f>P9*B9</f>
        <v>24.545454545454543</v>
      </c>
      <c r="P9" s="68">
        <f t="shared" ref="P9:P31" si="6">IF(Q9=0,0.0001,IFERROR(Q9/$K$2,0.0001))</f>
        <v>81.818181818181813</v>
      </c>
      <c r="Q9" s="66">
        <v>900</v>
      </c>
      <c r="R9" s="66">
        <f t="shared" ref="R9:R31" si="7">Q9*$L$1</f>
        <v>1800</v>
      </c>
      <c r="S9" s="67">
        <f t="shared" ref="S9:S31" si="8">IFERROR(T9/R9,0)</f>
        <v>0</v>
      </c>
      <c r="T9" s="26">
        <f t="shared" ref="T9:T31" si="9">IF($BF$3="да", BL9, H9-SUM(U9:AY9))</f>
        <v>0</v>
      </c>
      <c r="U9" s="44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311">
        <f t="shared" ref="AZ9:AZ31" ca="1" si="10">SUMIFS(U9:AY9,$U$6:$AY$6,"ф")</f>
        <v>0</v>
      </c>
      <c r="BA9" s="312">
        <f t="shared" ref="BA9:BA31" ca="1" si="11">SUMIFS(U9:AY9,$U$6:$AY$6,"пл")</f>
        <v>0</v>
      </c>
      <c r="BC9" s="61">
        <f>IFERROR(SUM(C9:E9)/$K$4,0)</f>
        <v>0</v>
      </c>
      <c r="BD9" s="214"/>
      <c r="BE9" s="305">
        <f t="shared" ref="BE9:BE31" ca="1" si="12">IFERROR(BD9/$BD$2,0)</f>
        <v>0</v>
      </c>
      <c r="BF9" s="217"/>
      <c r="BG9" s="215">
        <f t="shared" ref="BG9:BG31" ca="1" si="13">IFERROR(BF9/BE9,0)</f>
        <v>0</v>
      </c>
      <c r="BH9" s="61">
        <f t="shared" si="4"/>
        <v>0</v>
      </c>
      <c r="BI9" s="218">
        <f t="shared" ref="BI9:BI31" ca="1" si="14">IF(BE9*$BD$3-BF9+BH9&lt;0,0,BE9*$BD$3-BF9+BH9)</f>
        <v>0</v>
      </c>
      <c r="BJ9" s="216">
        <f ca="1">IFERROR(BI9/$BD$3,0)</f>
        <v>0</v>
      </c>
      <c r="BK9" s="219">
        <f ca="1">SUMIFS(U9:AY9,$U$6:$AY$6,"пл")</f>
        <v>0</v>
      </c>
      <c r="BL9" s="220">
        <f t="shared" ref="BL9:BL31" ca="1" si="15">IF(BI9&lt;0,BK9*-1, BI9-BK9)</f>
        <v>0</v>
      </c>
      <c r="BM9" s="221">
        <f t="shared" ref="BM9:BM31" ca="1" si="16">IFERROR(ROUND(BE9*($BD$3+$BD$2)-SUM(C9:E9), 1),0)</f>
        <v>0</v>
      </c>
    </row>
    <row r="10" spans="1:82" s="6" customFormat="1" x14ac:dyDescent="0.25">
      <c r="A10" s="144" t="s">
        <v>44</v>
      </c>
      <c r="B10" s="386">
        <v>0.3</v>
      </c>
      <c r="C10" s="93"/>
      <c r="D10" s="93"/>
      <c r="E10" s="93"/>
      <c r="F10" s="396"/>
      <c r="G10" s="133"/>
      <c r="H10" s="88">
        <f t="shared" si="5"/>
        <v>0</v>
      </c>
      <c r="I10" s="83">
        <f>B10*H10</f>
        <v>0</v>
      </c>
      <c r="J10" s="34">
        <f t="shared" si="1"/>
        <v>0</v>
      </c>
      <c r="K10" s="5">
        <f t="shared" si="2"/>
        <v>0</v>
      </c>
      <c r="L10" s="61"/>
      <c r="M10" s="70"/>
      <c r="N10" s="71" t="str">
        <f t="shared" si="3"/>
        <v/>
      </c>
      <c r="O10" s="68">
        <f>P10*B10</f>
        <v>32.727272727272727</v>
      </c>
      <c r="P10" s="68">
        <f t="shared" si="6"/>
        <v>109.09090909090909</v>
      </c>
      <c r="Q10" s="66">
        <v>1200</v>
      </c>
      <c r="R10" s="66">
        <f t="shared" si="7"/>
        <v>2400</v>
      </c>
      <c r="S10" s="67">
        <f t="shared" si="8"/>
        <v>0</v>
      </c>
      <c r="T10" s="26">
        <f t="shared" si="9"/>
        <v>0</v>
      </c>
      <c r="U10" s="44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311">
        <f t="shared" ca="1" si="10"/>
        <v>0</v>
      </c>
      <c r="BA10" s="312">
        <f t="shared" ca="1" si="11"/>
        <v>0</v>
      </c>
      <c r="BC10" s="61">
        <f>IFERROR(SUM(C10:E10)/$K$4,0)</f>
        <v>0</v>
      </c>
      <c r="BD10" s="214"/>
      <c r="BE10" s="305">
        <f t="shared" ca="1" si="12"/>
        <v>0</v>
      </c>
      <c r="BF10" s="217"/>
      <c r="BG10" s="215">
        <f t="shared" ca="1" si="13"/>
        <v>0</v>
      </c>
      <c r="BH10" s="61">
        <f t="shared" si="4"/>
        <v>0</v>
      </c>
      <c r="BI10" s="218">
        <f t="shared" ca="1" si="14"/>
        <v>0</v>
      </c>
      <c r="BJ10" s="216">
        <f ca="1">IFERROR(BI10/$BD$3,0)</f>
        <v>0</v>
      </c>
      <c r="BK10" s="219">
        <f ca="1">SUMIFS(U10:AY10,$U$6:$AY$6,"пл")</f>
        <v>0</v>
      </c>
      <c r="BL10" s="220">
        <f t="shared" ca="1" si="15"/>
        <v>0</v>
      </c>
      <c r="BM10" s="221">
        <f t="shared" ca="1" si="16"/>
        <v>0</v>
      </c>
    </row>
    <row r="11" spans="1:82" s="6" customFormat="1" x14ac:dyDescent="0.25">
      <c r="A11" s="144" t="s">
        <v>238</v>
      </c>
      <c r="B11" s="386">
        <v>0.3</v>
      </c>
      <c r="C11" s="93"/>
      <c r="D11" s="93"/>
      <c r="E11" s="93"/>
      <c r="F11" s="396"/>
      <c r="G11" s="133"/>
      <c r="H11" s="88">
        <f t="shared" si="5"/>
        <v>0</v>
      </c>
      <c r="I11" s="83">
        <f>B11*H11</f>
        <v>0</v>
      </c>
      <c r="J11" s="34">
        <f t="shared" si="1"/>
        <v>0</v>
      </c>
      <c r="K11" s="5">
        <f t="shared" si="2"/>
        <v>0</v>
      </c>
      <c r="L11" s="61"/>
      <c r="M11" s="70"/>
      <c r="N11" s="71" t="str">
        <f t="shared" si="3"/>
        <v/>
      </c>
      <c r="O11" s="68">
        <f>P11*B11</f>
        <v>24.545454545454543</v>
      </c>
      <c r="P11" s="68">
        <f t="shared" si="6"/>
        <v>81.818181818181813</v>
      </c>
      <c r="Q11" s="66">
        <v>900</v>
      </c>
      <c r="R11" s="66">
        <f t="shared" si="7"/>
        <v>1800</v>
      </c>
      <c r="S11" s="67">
        <f t="shared" si="8"/>
        <v>0</v>
      </c>
      <c r="T11" s="26">
        <f t="shared" si="9"/>
        <v>0</v>
      </c>
      <c r="U11" s="44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311">
        <f t="shared" ca="1" si="10"/>
        <v>0</v>
      </c>
      <c r="BA11" s="312">
        <f t="shared" ca="1" si="11"/>
        <v>0</v>
      </c>
      <c r="BC11" s="61">
        <f>IFERROR(SUM(C11:E11)/$K$4,0)</f>
        <v>0</v>
      </c>
      <c r="BD11" s="214"/>
      <c r="BE11" s="305">
        <f t="shared" ca="1" si="12"/>
        <v>0</v>
      </c>
      <c r="BF11" s="217"/>
      <c r="BG11" s="215">
        <f t="shared" ca="1" si="13"/>
        <v>0</v>
      </c>
      <c r="BH11" s="61">
        <f>G11</f>
        <v>0</v>
      </c>
      <c r="BI11" s="218">
        <f t="shared" ca="1" si="14"/>
        <v>0</v>
      </c>
      <c r="BJ11" s="216">
        <f ca="1">IFERROR(BI11/$BD$3,0)</f>
        <v>0</v>
      </c>
      <c r="BK11" s="219">
        <f ca="1">SUMIFS(U11:AY11,$U$6:$AY$6,"пл")</f>
        <v>0</v>
      </c>
      <c r="BL11" s="220">
        <f t="shared" ca="1" si="15"/>
        <v>0</v>
      </c>
      <c r="BM11" s="221">
        <f t="shared" ca="1" si="16"/>
        <v>0</v>
      </c>
    </row>
    <row r="12" spans="1:82" s="6" customFormat="1" x14ac:dyDescent="0.25">
      <c r="A12" s="144" t="s">
        <v>49</v>
      </c>
      <c r="B12" s="386">
        <v>0.3</v>
      </c>
      <c r="C12" s="93"/>
      <c r="D12" s="93"/>
      <c r="E12" s="93"/>
      <c r="F12" s="396"/>
      <c r="G12" s="133"/>
      <c r="H12" s="88">
        <f t="shared" si="5"/>
        <v>0</v>
      </c>
      <c r="I12" s="83">
        <f>B12*H12</f>
        <v>0</v>
      </c>
      <c r="J12" s="34">
        <f t="shared" si="1"/>
        <v>0</v>
      </c>
      <c r="K12" s="5">
        <f t="shared" si="2"/>
        <v>0</v>
      </c>
      <c r="L12" s="61"/>
      <c r="M12" s="70"/>
      <c r="N12" s="71" t="str">
        <f t="shared" si="3"/>
        <v/>
      </c>
      <c r="O12" s="68">
        <f>P12*B12</f>
        <v>24.545454545454543</v>
      </c>
      <c r="P12" s="68">
        <f t="shared" si="6"/>
        <v>81.818181818181813</v>
      </c>
      <c r="Q12" s="66">
        <v>900</v>
      </c>
      <c r="R12" s="66">
        <f t="shared" si="7"/>
        <v>1800</v>
      </c>
      <c r="S12" s="67">
        <f t="shared" si="8"/>
        <v>0</v>
      </c>
      <c r="T12" s="26">
        <f t="shared" si="9"/>
        <v>0</v>
      </c>
      <c r="U12" s="44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311">
        <f t="shared" ca="1" si="10"/>
        <v>0</v>
      </c>
      <c r="BA12" s="312">
        <f t="shared" ca="1" si="11"/>
        <v>0</v>
      </c>
      <c r="BC12" s="61">
        <f>IFERROR(SUM(C12:E12)/$K$4,0)</f>
        <v>0</v>
      </c>
      <c r="BD12" s="214"/>
      <c r="BE12" s="305">
        <f t="shared" ca="1" si="12"/>
        <v>0</v>
      </c>
      <c r="BF12" s="217"/>
      <c r="BG12" s="215">
        <f t="shared" ca="1" si="13"/>
        <v>0</v>
      </c>
      <c r="BH12" s="61">
        <f t="shared" si="4"/>
        <v>0</v>
      </c>
      <c r="BI12" s="218">
        <f t="shared" ca="1" si="14"/>
        <v>0</v>
      </c>
      <c r="BJ12" s="216">
        <f ca="1">IFERROR(BI12/$BD$3,0)</f>
        <v>0</v>
      </c>
      <c r="BK12" s="219">
        <f ca="1">SUMIFS(U12:AY12,$U$6:$AY$6,"пл")</f>
        <v>0</v>
      </c>
      <c r="BL12" s="220">
        <f t="shared" ca="1" si="15"/>
        <v>0</v>
      </c>
      <c r="BM12" s="221">
        <f t="shared" ca="1" si="16"/>
        <v>0</v>
      </c>
    </row>
    <row r="13" spans="1:82" s="6" customFormat="1" x14ac:dyDescent="0.25">
      <c r="A13" s="144" t="s">
        <v>46</v>
      </c>
      <c r="B13" s="386">
        <v>0.3</v>
      </c>
      <c r="C13" s="93"/>
      <c r="D13" s="93"/>
      <c r="E13" s="93"/>
      <c r="F13" s="396"/>
      <c r="G13" s="133"/>
      <c r="H13" s="88">
        <f t="shared" si="5"/>
        <v>0</v>
      </c>
      <c r="I13" s="83">
        <f>B13*H13</f>
        <v>0</v>
      </c>
      <c r="J13" s="34">
        <f t="shared" si="1"/>
        <v>0</v>
      </c>
      <c r="K13" s="5">
        <f t="shared" si="2"/>
        <v>0</v>
      </c>
      <c r="L13" s="61"/>
      <c r="M13" s="70"/>
      <c r="N13" s="71" t="str">
        <f t="shared" si="3"/>
        <v/>
      </c>
      <c r="O13" s="68">
        <f>P13*B13</f>
        <v>24.545454545454543</v>
      </c>
      <c r="P13" s="68">
        <f t="shared" si="6"/>
        <v>81.818181818181813</v>
      </c>
      <c r="Q13" s="66">
        <v>900</v>
      </c>
      <c r="R13" s="66">
        <f t="shared" si="7"/>
        <v>1800</v>
      </c>
      <c r="S13" s="67">
        <f t="shared" si="8"/>
        <v>0</v>
      </c>
      <c r="T13" s="26">
        <f t="shared" si="9"/>
        <v>0</v>
      </c>
      <c r="U13" s="44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311">
        <f t="shared" ca="1" si="10"/>
        <v>0</v>
      </c>
      <c r="BA13" s="312">
        <f t="shared" ca="1" si="11"/>
        <v>0</v>
      </c>
      <c r="BC13" s="61">
        <f>IFERROR(SUM(C13:E13)/$K$4,0)</f>
        <v>0</v>
      </c>
      <c r="BD13" s="214"/>
      <c r="BE13" s="305">
        <f ca="1">IFERROR(BD13/$BD$2,0)</f>
        <v>0</v>
      </c>
      <c r="BF13" s="217"/>
      <c r="BG13" s="215">
        <f t="shared" ca="1" si="13"/>
        <v>0</v>
      </c>
      <c r="BH13" s="61">
        <f t="shared" si="4"/>
        <v>0</v>
      </c>
      <c r="BI13" s="218">
        <f t="shared" ca="1" si="14"/>
        <v>0</v>
      </c>
      <c r="BJ13" s="216">
        <f ca="1">IFERROR(BI13/$BD$3,0)</f>
        <v>0</v>
      </c>
      <c r="BK13" s="219">
        <f ca="1">SUMIFS(U13:AY13,$U$6:$AY$6,"пл")</f>
        <v>0</v>
      </c>
      <c r="BL13" s="220">
        <f t="shared" ca="1" si="15"/>
        <v>0</v>
      </c>
      <c r="BM13" s="221">
        <f t="shared" ca="1" si="16"/>
        <v>0</v>
      </c>
    </row>
    <row r="14" spans="1:82" s="6" customFormat="1" x14ac:dyDescent="0.25">
      <c r="A14" s="144" t="s">
        <v>237</v>
      </c>
      <c r="B14" s="386">
        <v>0.3</v>
      </c>
      <c r="C14" s="93"/>
      <c r="D14" s="93"/>
      <c r="E14" s="93"/>
      <c r="F14" s="396"/>
      <c r="G14" s="133"/>
      <c r="H14" s="88">
        <f t="shared" si="5"/>
        <v>0</v>
      </c>
      <c r="I14" s="83">
        <f>B14*H14</f>
        <v>0</v>
      </c>
      <c r="J14" s="34">
        <f t="shared" si="1"/>
        <v>0</v>
      </c>
      <c r="K14" s="5">
        <f t="shared" si="2"/>
        <v>0</v>
      </c>
      <c r="L14" s="61"/>
      <c r="M14" s="70"/>
      <c r="N14" s="71" t="str">
        <f t="shared" si="3"/>
        <v/>
      </c>
      <c r="O14" s="68">
        <f>P14*B14</f>
        <v>24.545454545454543</v>
      </c>
      <c r="P14" s="68">
        <f t="shared" si="6"/>
        <v>81.818181818181813</v>
      </c>
      <c r="Q14" s="66">
        <v>900</v>
      </c>
      <c r="R14" s="66">
        <f t="shared" si="7"/>
        <v>1800</v>
      </c>
      <c r="S14" s="67">
        <f t="shared" si="8"/>
        <v>0</v>
      </c>
      <c r="T14" s="26">
        <f t="shared" si="9"/>
        <v>0</v>
      </c>
      <c r="U14" s="44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311">
        <f t="shared" ca="1" si="10"/>
        <v>0</v>
      </c>
      <c r="BA14" s="312">
        <f t="shared" ca="1" si="11"/>
        <v>0</v>
      </c>
      <c r="BC14" s="61">
        <f>IFERROR(SUM(C14:E14)/$K$4,0)</f>
        <v>0</v>
      </c>
      <c r="BD14" s="214"/>
      <c r="BE14" s="305">
        <f t="shared" ca="1" si="12"/>
        <v>0</v>
      </c>
      <c r="BF14" s="217"/>
      <c r="BG14" s="215">
        <f t="shared" ca="1" si="13"/>
        <v>0</v>
      </c>
      <c r="BH14" s="61">
        <f t="shared" si="4"/>
        <v>0</v>
      </c>
      <c r="BI14" s="218">
        <f t="shared" ca="1" si="14"/>
        <v>0</v>
      </c>
      <c r="BJ14" s="216">
        <f ca="1">IFERROR(BI14/$BD$3,0)</f>
        <v>0</v>
      </c>
      <c r="BK14" s="219">
        <f ca="1">SUMIFS(U14:AY14,$U$6:$AY$6,"пл")</f>
        <v>0</v>
      </c>
      <c r="BL14" s="220">
        <f t="shared" ca="1" si="15"/>
        <v>0</v>
      </c>
      <c r="BM14" s="221">
        <f t="shared" ca="1" si="16"/>
        <v>0</v>
      </c>
    </row>
    <row r="15" spans="1:82" s="6" customFormat="1" x14ac:dyDescent="0.25">
      <c r="A15" s="144" t="s">
        <v>47</v>
      </c>
      <c r="B15" s="386">
        <v>0.3</v>
      </c>
      <c r="C15" s="93"/>
      <c r="D15" s="93"/>
      <c r="E15" s="93"/>
      <c r="F15" s="396"/>
      <c r="G15" s="133"/>
      <c r="H15" s="88">
        <f t="shared" si="5"/>
        <v>0</v>
      </c>
      <c r="I15" s="83">
        <f>B15*H15</f>
        <v>0</v>
      </c>
      <c r="J15" s="34">
        <f t="shared" si="1"/>
        <v>0</v>
      </c>
      <c r="K15" s="5">
        <f t="shared" si="2"/>
        <v>0</v>
      </c>
      <c r="L15" s="61"/>
      <c r="M15" s="70"/>
      <c r="N15" s="71" t="str">
        <f t="shared" si="3"/>
        <v/>
      </c>
      <c r="O15" s="68">
        <f>P15*B15</f>
        <v>24.545454545454543</v>
      </c>
      <c r="P15" s="68">
        <f t="shared" si="6"/>
        <v>81.818181818181813</v>
      </c>
      <c r="Q15" s="66">
        <v>900</v>
      </c>
      <c r="R15" s="66">
        <f t="shared" si="7"/>
        <v>1800</v>
      </c>
      <c r="S15" s="67">
        <f t="shared" si="8"/>
        <v>0</v>
      </c>
      <c r="T15" s="26">
        <f t="shared" si="9"/>
        <v>0</v>
      </c>
      <c r="U15" s="44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311">
        <f t="shared" ca="1" si="10"/>
        <v>0</v>
      </c>
      <c r="BA15" s="312">
        <f t="shared" ca="1" si="11"/>
        <v>0</v>
      </c>
      <c r="BC15" s="61">
        <f>IFERROR(SUM(C15:E15)/$K$4,0)</f>
        <v>0</v>
      </c>
      <c r="BD15" s="214"/>
      <c r="BE15" s="305">
        <f t="shared" ca="1" si="12"/>
        <v>0</v>
      </c>
      <c r="BF15" s="217"/>
      <c r="BG15" s="215">
        <f t="shared" ca="1" si="13"/>
        <v>0</v>
      </c>
      <c r="BH15" s="61">
        <f t="shared" si="4"/>
        <v>0</v>
      </c>
      <c r="BI15" s="218">
        <f t="shared" ca="1" si="14"/>
        <v>0</v>
      </c>
      <c r="BJ15" s="216">
        <f ca="1">IFERROR(BI15/$BD$3,0)</f>
        <v>0</v>
      </c>
      <c r="BK15" s="219">
        <f ca="1">SUMIFS(U15:AY15,$U$6:$AY$6,"пл")</f>
        <v>0</v>
      </c>
      <c r="BL15" s="220">
        <f t="shared" ca="1" si="15"/>
        <v>0</v>
      </c>
      <c r="BM15" s="221">
        <f t="shared" ca="1" si="16"/>
        <v>0</v>
      </c>
    </row>
    <row r="16" spans="1:82" s="6" customFormat="1" x14ac:dyDescent="0.25">
      <c r="A16" s="144" t="s">
        <v>48</v>
      </c>
      <c r="B16" s="386">
        <v>0.3</v>
      </c>
      <c r="C16" s="93"/>
      <c r="D16" s="93"/>
      <c r="E16" s="93"/>
      <c r="F16" s="396"/>
      <c r="G16" s="133"/>
      <c r="H16" s="88">
        <f t="shared" si="5"/>
        <v>0</v>
      </c>
      <c r="I16" s="83">
        <f>B16*H16</f>
        <v>0</v>
      </c>
      <c r="J16" s="34">
        <f t="shared" si="1"/>
        <v>0</v>
      </c>
      <c r="K16" s="5">
        <f t="shared" si="2"/>
        <v>0</v>
      </c>
      <c r="L16" s="61"/>
      <c r="M16" s="70"/>
      <c r="N16" s="71" t="str">
        <f t="shared" si="3"/>
        <v/>
      </c>
      <c r="O16" s="68">
        <f>P16*B16</f>
        <v>24.545454545454543</v>
      </c>
      <c r="P16" s="68">
        <f t="shared" si="6"/>
        <v>81.818181818181813</v>
      </c>
      <c r="Q16" s="66">
        <v>900</v>
      </c>
      <c r="R16" s="66">
        <f t="shared" si="7"/>
        <v>1800</v>
      </c>
      <c r="S16" s="67">
        <f t="shared" si="8"/>
        <v>0</v>
      </c>
      <c r="T16" s="26">
        <f t="shared" si="9"/>
        <v>0</v>
      </c>
      <c r="U16" s="44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311">
        <f t="shared" ca="1" si="10"/>
        <v>0</v>
      </c>
      <c r="BA16" s="312">
        <f t="shared" ca="1" si="11"/>
        <v>0</v>
      </c>
      <c r="BC16" s="61">
        <f>IFERROR(SUM(C16:E16)/$K$4,0)</f>
        <v>0</v>
      </c>
      <c r="BD16" s="214"/>
      <c r="BE16" s="305">
        <f t="shared" ca="1" si="12"/>
        <v>0</v>
      </c>
      <c r="BF16" s="217"/>
      <c r="BG16" s="215">
        <f t="shared" ca="1" si="13"/>
        <v>0</v>
      </c>
      <c r="BH16" s="61">
        <f t="shared" si="4"/>
        <v>0</v>
      </c>
      <c r="BI16" s="218">
        <f t="shared" ca="1" si="14"/>
        <v>0</v>
      </c>
      <c r="BJ16" s="216">
        <f ca="1">IFERROR(BI16/$BD$3,0)</f>
        <v>0</v>
      </c>
      <c r="BK16" s="219">
        <f ca="1">SUMIFS(U16:AY16,$U$6:$AY$6,"пл")</f>
        <v>0</v>
      </c>
      <c r="BL16" s="220">
        <f t="shared" ca="1" si="15"/>
        <v>0</v>
      </c>
      <c r="BM16" s="221">
        <f t="shared" ca="1" si="16"/>
        <v>0</v>
      </c>
    </row>
    <row r="17" spans="1:66" s="6" customFormat="1" x14ac:dyDescent="0.25">
      <c r="A17" s="144" t="s">
        <v>50</v>
      </c>
      <c r="B17" s="386">
        <v>0.3</v>
      </c>
      <c r="C17" s="93"/>
      <c r="D17" s="93"/>
      <c r="E17" s="93"/>
      <c r="F17" s="396"/>
      <c r="G17" s="133"/>
      <c r="H17" s="88">
        <f t="shared" si="5"/>
        <v>0</v>
      </c>
      <c r="I17" s="83">
        <f>B17*H17</f>
        <v>0</v>
      </c>
      <c r="J17" s="34">
        <f t="shared" si="1"/>
        <v>0</v>
      </c>
      <c r="K17" s="5">
        <f t="shared" si="2"/>
        <v>0</v>
      </c>
      <c r="L17" s="61"/>
      <c r="M17" s="70"/>
      <c r="N17" s="71" t="str">
        <f t="shared" si="3"/>
        <v/>
      </c>
      <c r="O17" s="68">
        <f>P17*B17</f>
        <v>24.545454545454543</v>
      </c>
      <c r="P17" s="68">
        <f t="shared" si="6"/>
        <v>81.818181818181813</v>
      </c>
      <c r="Q17" s="66">
        <v>900</v>
      </c>
      <c r="R17" s="66">
        <f t="shared" si="7"/>
        <v>1800</v>
      </c>
      <c r="S17" s="67">
        <f t="shared" si="8"/>
        <v>0</v>
      </c>
      <c r="T17" s="26">
        <f t="shared" si="9"/>
        <v>0</v>
      </c>
      <c r="U17" s="44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311">
        <f t="shared" ca="1" si="10"/>
        <v>0</v>
      </c>
      <c r="BA17" s="312">
        <f t="shared" ca="1" si="11"/>
        <v>0</v>
      </c>
      <c r="BC17" s="61">
        <f>IFERROR(SUM(C17:E17)/$K$4,0)</f>
        <v>0</v>
      </c>
      <c r="BD17" s="214"/>
      <c r="BE17" s="305">
        <f t="shared" ca="1" si="12"/>
        <v>0</v>
      </c>
      <c r="BF17" s="217"/>
      <c r="BG17" s="215">
        <f t="shared" ca="1" si="13"/>
        <v>0</v>
      </c>
      <c r="BH17" s="61">
        <f t="shared" si="4"/>
        <v>0</v>
      </c>
      <c r="BI17" s="218">
        <f t="shared" ca="1" si="14"/>
        <v>0</v>
      </c>
      <c r="BJ17" s="216">
        <f ca="1">IFERROR(BI17/$BD$3,0)</f>
        <v>0</v>
      </c>
      <c r="BK17" s="219">
        <f ca="1">SUMIFS(U17:AY17,$U$6:$AY$6,"пл")</f>
        <v>0</v>
      </c>
      <c r="BL17" s="220">
        <f t="shared" ca="1" si="15"/>
        <v>0</v>
      </c>
      <c r="BM17" s="221">
        <f t="shared" ca="1" si="16"/>
        <v>0</v>
      </c>
    </row>
    <row r="18" spans="1:66" s="6" customFormat="1" x14ac:dyDescent="0.25">
      <c r="A18" s="143" t="s">
        <v>239</v>
      </c>
      <c r="B18" s="386">
        <v>1</v>
      </c>
      <c r="C18" s="93"/>
      <c r="D18" s="93"/>
      <c r="E18" s="93"/>
      <c r="F18" s="396"/>
      <c r="G18" s="133"/>
      <c r="H18" s="88">
        <f t="shared" si="5"/>
        <v>0</v>
      </c>
      <c r="I18" s="83">
        <f>B18*H18</f>
        <v>0</v>
      </c>
      <c r="J18" s="34">
        <f t="shared" si="1"/>
        <v>0</v>
      </c>
      <c r="K18" s="5">
        <f t="shared" si="2"/>
        <v>0</v>
      </c>
      <c r="L18" s="61"/>
      <c r="M18" s="70"/>
      <c r="N18" s="71" t="str">
        <f t="shared" si="3"/>
        <v/>
      </c>
      <c r="O18" s="68">
        <f>P18*B18</f>
        <v>22.727272727272727</v>
      </c>
      <c r="P18" s="68">
        <f t="shared" si="6"/>
        <v>22.727272727272727</v>
      </c>
      <c r="Q18" s="66">
        <v>250</v>
      </c>
      <c r="R18" s="66">
        <f t="shared" si="7"/>
        <v>500</v>
      </c>
      <c r="S18" s="67">
        <f t="shared" si="8"/>
        <v>0</v>
      </c>
      <c r="T18" s="26">
        <f t="shared" si="9"/>
        <v>0</v>
      </c>
      <c r="U18" s="44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311">
        <f t="shared" ca="1" si="10"/>
        <v>0</v>
      </c>
      <c r="BA18" s="312">
        <f t="shared" ca="1" si="11"/>
        <v>0</v>
      </c>
      <c r="BC18" s="61">
        <f>IFERROR(SUM(C18:E18)/$K$4,0)</f>
        <v>0</v>
      </c>
      <c r="BD18" s="214"/>
      <c r="BE18" s="305">
        <f t="shared" ca="1" si="12"/>
        <v>0</v>
      </c>
      <c r="BF18" s="217"/>
      <c r="BG18" s="215">
        <f t="shared" ca="1" si="13"/>
        <v>0</v>
      </c>
      <c r="BH18" s="61">
        <f>G18</f>
        <v>0</v>
      </c>
      <c r="BI18" s="218">
        <f t="shared" ca="1" si="14"/>
        <v>0</v>
      </c>
      <c r="BJ18" s="216">
        <f ca="1">IFERROR(BI18/$BD$3,0)</f>
        <v>0</v>
      </c>
      <c r="BK18" s="219">
        <f ca="1">SUMIFS(U18:AY18,$U$6:$AY$6,"пл")</f>
        <v>0</v>
      </c>
      <c r="BL18" s="220">
        <f t="shared" ca="1" si="15"/>
        <v>0</v>
      </c>
      <c r="BM18" s="221">
        <f t="shared" ca="1" si="16"/>
        <v>0</v>
      </c>
    </row>
    <row r="19" spans="1:66" s="6" customFormat="1" x14ac:dyDescent="0.25">
      <c r="A19" s="143" t="s">
        <v>240</v>
      </c>
      <c r="B19" s="386">
        <v>1</v>
      </c>
      <c r="C19" s="94"/>
      <c r="D19" s="94"/>
      <c r="E19" s="94"/>
      <c r="F19" s="396"/>
      <c r="G19" s="133"/>
      <c r="H19" s="88">
        <f t="shared" si="5"/>
        <v>0</v>
      </c>
      <c r="I19" s="84">
        <f>B19*H19</f>
        <v>0</v>
      </c>
      <c r="J19" s="35">
        <f t="shared" si="1"/>
        <v>0</v>
      </c>
      <c r="K19" s="7">
        <f t="shared" si="2"/>
        <v>0</v>
      </c>
      <c r="L19" s="62"/>
      <c r="M19" s="70"/>
      <c r="N19" s="71" t="str">
        <f t="shared" si="3"/>
        <v/>
      </c>
      <c r="O19" s="68">
        <f>P19*B19</f>
        <v>22.727272727272727</v>
      </c>
      <c r="P19" s="68">
        <f t="shared" si="6"/>
        <v>22.727272727272727</v>
      </c>
      <c r="Q19" s="66">
        <v>250</v>
      </c>
      <c r="R19" s="66">
        <f t="shared" si="7"/>
        <v>500</v>
      </c>
      <c r="S19" s="67">
        <f t="shared" si="8"/>
        <v>0</v>
      </c>
      <c r="T19" s="26">
        <f t="shared" si="9"/>
        <v>0</v>
      </c>
      <c r="U19" s="44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311">
        <f t="shared" ca="1" si="10"/>
        <v>0</v>
      </c>
      <c r="BA19" s="312">
        <f t="shared" ca="1" si="11"/>
        <v>0</v>
      </c>
      <c r="BC19" s="61">
        <f>IFERROR(SUM(C19:E19)/$K$4,0)</f>
        <v>0</v>
      </c>
      <c r="BD19" s="214"/>
      <c r="BE19" s="305">
        <f t="shared" ca="1" si="12"/>
        <v>0</v>
      </c>
      <c r="BF19" s="217"/>
      <c r="BG19" s="215">
        <f t="shared" ca="1" si="13"/>
        <v>0</v>
      </c>
      <c r="BH19" s="61">
        <f t="shared" si="4"/>
        <v>0</v>
      </c>
      <c r="BI19" s="218">
        <f t="shared" ca="1" si="14"/>
        <v>0</v>
      </c>
      <c r="BJ19" s="216">
        <f ca="1">IFERROR(BI19/$BD$3,0)</f>
        <v>0</v>
      </c>
      <c r="BK19" s="219">
        <f ca="1">SUMIFS(U19:AY19,$U$6:$AY$6,"пл")</f>
        <v>0</v>
      </c>
      <c r="BL19" s="220">
        <f t="shared" ca="1" si="15"/>
        <v>0</v>
      </c>
      <c r="BM19" s="221">
        <f t="shared" ca="1" si="16"/>
        <v>0</v>
      </c>
    </row>
    <row r="20" spans="1:66" s="6" customFormat="1" x14ac:dyDescent="0.25">
      <c r="A20" s="143" t="s">
        <v>241</v>
      </c>
      <c r="B20" s="386">
        <v>0.25</v>
      </c>
      <c r="C20" s="93"/>
      <c r="D20" s="93"/>
      <c r="E20" s="93"/>
      <c r="F20" s="396"/>
      <c r="G20" s="133"/>
      <c r="H20" s="88">
        <f t="shared" si="5"/>
        <v>0</v>
      </c>
      <c r="I20" s="83">
        <f>B20*H20</f>
        <v>0</v>
      </c>
      <c r="J20" s="34">
        <f t="shared" si="1"/>
        <v>0</v>
      </c>
      <c r="K20" s="5">
        <f t="shared" si="2"/>
        <v>0</v>
      </c>
      <c r="L20" s="61"/>
      <c r="M20" s="70"/>
      <c r="N20" s="71" t="str">
        <f t="shared" si="3"/>
        <v/>
      </c>
      <c r="O20" s="68">
        <f>P20*B20</f>
        <v>5.6818181818181817</v>
      </c>
      <c r="P20" s="68">
        <f t="shared" si="6"/>
        <v>22.727272727272727</v>
      </c>
      <c r="Q20" s="66">
        <v>250</v>
      </c>
      <c r="R20" s="66">
        <f t="shared" si="7"/>
        <v>500</v>
      </c>
      <c r="S20" s="67">
        <f t="shared" si="8"/>
        <v>0</v>
      </c>
      <c r="T20" s="26">
        <f t="shared" si="9"/>
        <v>0</v>
      </c>
      <c r="U20" s="44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311">
        <f t="shared" ca="1" si="10"/>
        <v>0</v>
      </c>
      <c r="BA20" s="312">
        <f t="shared" ca="1" si="11"/>
        <v>0</v>
      </c>
      <c r="BC20" s="61">
        <f>IFERROR(SUM(C20:E20)/$K$4,0)</f>
        <v>0</v>
      </c>
      <c r="BD20" s="214"/>
      <c r="BE20" s="305">
        <f t="shared" ca="1" si="12"/>
        <v>0</v>
      </c>
      <c r="BF20" s="217"/>
      <c r="BG20" s="215">
        <f t="shared" ca="1" si="13"/>
        <v>0</v>
      </c>
      <c r="BH20" s="61">
        <f>G20</f>
        <v>0</v>
      </c>
      <c r="BI20" s="218">
        <f t="shared" ca="1" si="14"/>
        <v>0</v>
      </c>
      <c r="BJ20" s="216">
        <f ca="1">IFERROR(BI20/$BD$3,0)</f>
        <v>0</v>
      </c>
      <c r="BK20" s="219">
        <f ca="1">SUMIFS(U20:AY20,$U$6:$AY$6,"пл")</f>
        <v>0</v>
      </c>
      <c r="BL20" s="220">
        <f t="shared" ca="1" si="15"/>
        <v>0</v>
      </c>
      <c r="BM20" s="221">
        <f t="shared" ca="1" si="16"/>
        <v>0</v>
      </c>
    </row>
    <row r="21" spans="1:66" s="6" customFormat="1" x14ac:dyDescent="0.25">
      <c r="A21" s="143" t="s">
        <v>242</v>
      </c>
      <c r="B21" s="386">
        <v>1.8</v>
      </c>
      <c r="C21" s="93"/>
      <c r="D21" s="93"/>
      <c r="E21" s="93"/>
      <c r="F21" s="396"/>
      <c r="G21" s="133"/>
      <c r="H21" s="88">
        <f t="shared" si="5"/>
        <v>0</v>
      </c>
      <c r="I21" s="83">
        <f>B21*H21</f>
        <v>0</v>
      </c>
      <c r="J21" s="34">
        <f t="shared" si="1"/>
        <v>0</v>
      </c>
      <c r="K21" s="5">
        <f t="shared" si="2"/>
        <v>0</v>
      </c>
      <c r="L21" s="61"/>
      <c r="M21" s="70"/>
      <c r="N21" s="71" t="str">
        <f t="shared" si="3"/>
        <v/>
      </c>
      <c r="O21" s="68">
        <f>P21*B21</f>
        <v>32.727272727272734</v>
      </c>
      <c r="P21" s="68">
        <f t="shared" si="6"/>
        <v>18.181818181818183</v>
      </c>
      <c r="Q21" s="66">
        <v>200</v>
      </c>
      <c r="R21" s="66">
        <f t="shared" si="7"/>
        <v>400</v>
      </c>
      <c r="S21" s="67">
        <f t="shared" si="8"/>
        <v>0</v>
      </c>
      <c r="T21" s="26">
        <f t="shared" si="9"/>
        <v>0</v>
      </c>
      <c r="U21" s="44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326">
        <f t="shared" ca="1" si="10"/>
        <v>0</v>
      </c>
      <c r="BA21" s="327">
        <f t="shared" ca="1" si="11"/>
        <v>0</v>
      </c>
      <c r="BC21" s="61">
        <f>IFERROR(SUM(C21:E21)/$K$4,0)</f>
        <v>0</v>
      </c>
      <c r="BD21" s="214"/>
      <c r="BE21" s="305">
        <f t="shared" ca="1" si="12"/>
        <v>0</v>
      </c>
      <c r="BF21" s="217"/>
      <c r="BG21" s="215">
        <f t="shared" ca="1" si="13"/>
        <v>0</v>
      </c>
      <c r="BH21" s="61">
        <f t="shared" ref="BH21:BH31" si="17">G21</f>
        <v>0</v>
      </c>
      <c r="BI21" s="218">
        <f t="shared" ca="1" si="14"/>
        <v>0</v>
      </c>
      <c r="BJ21" s="216">
        <f ca="1">IFERROR(BI21/$BD$3,0)</f>
        <v>0</v>
      </c>
      <c r="BK21" s="219">
        <f ca="1">SUMIFS(U21:AY21,$U$6:$AY$6,"пл")</f>
        <v>0</v>
      </c>
      <c r="BL21" s="220">
        <f t="shared" ca="1" si="15"/>
        <v>0</v>
      </c>
      <c r="BM21" s="221">
        <f t="shared" ca="1" si="16"/>
        <v>0</v>
      </c>
    </row>
    <row r="22" spans="1:66" s="6" customFormat="1" x14ac:dyDescent="0.25">
      <c r="A22" s="143"/>
      <c r="B22" s="386"/>
      <c r="C22" s="93"/>
      <c r="D22" s="93"/>
      <c r="E22" s="93"/>
      <c r="F22" s="396"/>
      <c r="G22" s="133"/>
      <c r="H22" s="88">
        <f t="shared" si="5"/>
        <v>0</v>
      </c>
      <c r="I22" s="83">
        <f>B22*H22</f>
        <v>0</v>
      </c>
      <c r="J22" s="34">
        <f t="shared" si="1"/>
        <v>0</v>
      </c>
      <c r="K22" s="5">
        <f t="shared" si="2"/>
        <v>0</v>
      </c>
      <c r="L22" s="61"/>
      <c r="M22" s="70"/>
      <c r="N22" s="71" t="str">
        <f t="shared" si="3"/>
        <v/>
      </c>
      <c r="O22" s="68">
        <f>P22*B22</f>
        <v>0</v>
      </c>
      <c r="P22" s="68">
        <f t="shared" si="6"/>
        <v>1E-4</v>
      </c>
      <c r="Q22" s="66"/>
      <c r="R22" s="66">
        <f t="shared" si="7"/>
        <v>0</v>
      </c>
      <c r="S22" s="67">
        <f t="shared" si="8"/>
        <v>0</v>
      </c>
      <c r="T22" s="26">
        <f t="shared" si="9"/>
        <v>0</v>
      </c>
      <c r="U22" s="44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326">
        <f t="shared" ca="1" si="10"/>
        <v>0</v>
      </c>
      <c r="BA22" s="327">
        <f t="shared" ca="1" si="11"/>
        <v>0</v>
      </c>
      <c r="BC22" s="61">
        <f>IFERROR(SUM(C22:E22)/$K$4,0)</f>
        <v>0</v>
      </c>
      <c r="BD22" s="214"/>
      <c r="BE22" s="305">
        <f t="shared" ca="1" si="12"/>
        <v>0</v>
      </c>
      <c r="BF22" s="217"/>
      <c r="BG22" s="215">
        <f t="shared" ca="1" si="13"/>
        <v>0</v>
      </c>
      <c r="BH22" s="61">
        <f t="shared" si="17"/>
        <v>0</v>
      </c>
      <c r="BI22" s="218">
        <f t="shared" ca="1" si="14"/>
        <v>0</v>
      </c>
      <c r="BJ22" s="216">
        <f ca="1">IFERROR(BI22/$BD$3,0)</f>
        <v>0</v>
      </c>
      <c r="BK22" s="219">
        <f ca="1">SUMIFS(U22:AY22,$U$6:$AY$6,"пл")</f>
        <v>0</v>
      </c>
      <c r="BL22" s="220">
        <f t="shared" ca="1" si="15"/>
        <v>0</v>
      </c>
      <c r="BM22" s="221">
        <f t="shared" ca="1" si="16"/>
        <v>0</v>
      </c>
    </row>
    <row r="23" spans="1:66" s="6" customFormat="1" x14ac:dyDescent="0.25">
      <c r="A23" s="38"/>
      <c r="B23" s="386"/>
      <c r="C23" s="93"/>
      <c r="D23" s="93"/>
      <c r="E23" s="93"/>
      <c r="F23" s="396"/>
      <c r="G23" s="133"/>
      <c r="H23" s="88">
        <f t="shared" si="5"/>
        <v>0</v>
      </c>
      <c r="I23" s="83">
        <f>B23*H23</f>
        <v>0</v>
      </c>
      <c r="J23" s="34">
        <f t="shared" si="1"/>
        <v>0</v>
      </c>
      <c r="K23" s="5">
        <f t="shared" si="2"/>
        <v>0</v>
      </c>
      <c r="L23" s="61"/>
      <c r="M23" s="70"/>
      <c r="N23" s="71" t="str">
        <f t="shared" si="3"/>
        <v/>
      </c>
      <c r="O23" s="68">
        <f>P23*B23</f>
        <v>0</v>
      </c>
      <c r="P23" s="68">
        <f t="shared" si="6"/>
        <v>1E-4</v>
      </c>
      <c r="Q23" s="66"/>
      <c r="R23" s="66">
        <f t="shared" si="7"/>
        <v>0</v>
      </c>
      <c r="S23" s="67">
        <f t="shared" si="8"/>
        <v>0</v>
      </c>
      <c r="T23" s="26">
        <f t="shared" si="9"/>
        <v>0</v>
      </c>
      <c r="U23" s="44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326">
        <f t="shared" ca="1" si="10"/>
        <v>0</v>
      </c>
      <c r="BA23" s="327">
        <f t="shared" ca="1" si="11"/>
        <v>0</v>
      </c>
      <c r="BC23" s="61">
        <f>IFERROR(SUM(C23:E23)/$K$4,0)</f>
        <v>0</v>
      </c>
      <c r="BD23" s="214"/>
      <c r="BE23" s="305">
        <f t="shared" ca="1" si="12"/>
        <v>0</v>
      </c>
      <c r="BF23" s="217"/>
      <c r="BG23" s="215">
        <f t="shared" ca="1" si="13"/>
        <v>0</v>
      </c>
      <c r="BH23" s="61">
        <f t="shared" si="17"/>
        <v>0</v>
      </c>
      <c r="BI23" s="218">
        <f t="shared" ca="1" si="14"/>
        <v>0</v>
      </c>
      <c r="BJ23" s="216">
        <f ca="1">IFERROR(BI23/$BD$3,0)</f>
        <v>0</v>
      </c>
      <c r="BK23" s="219">
        <f ca="1">SUMIFS(U23:AY23,$U$6:$AY$6,"пл")</f>
        <v>0</v>
      </c>
      <c r="BL23" s="220">
        <f t="shared" ca="1" si="15"/>
        <v>0</v>
      </c>
      <c r="BM23" s="221">
        <f t="shared" ca="1" si="16"/>
        <v>0</v>
      </c>
    </row>
    <row r="24" spans="1:66" s="6" customFormat="1" x14ac:dyDescent="0.25">
      <c r="A24" s="38"/>
      <c r="B24" s="386"/>
      <c r="C24" s="93"/>
      <c r="D24" s="93"/>
      <c r="E24" s="93"/>
      <c r="F24" s="396"/>
      <c r="G24" s="133"/>
      <c r="H24" s="88">
        <f t="shared" si="5"/>
        <v>0</v>
      </c>
      <c r="I24" s="83">
        <f>B24*H24</f>
        <v>0</v>
      </c>
      <c r="J24" s="34">
        <f t="shared" si="1"/>
        <v>0</v>
      </c>
      <c r="K24" s="5">
        <f t="shared" si="2"/>
        <v>0</v>
      </c>
      <c r="L24" s="61"/>
      <c r="M24" s="70"/>
      <c r="N24" s="71" t="str">
        <f t="shared" si="3"/>
        <v/>
      </c>
      <c r="O24" s="68">
        <f>P24*B24</f>
        <v>0</v>
      </c>
      <c r="P24" s="68">
        <f t="shared" si="6"/>
        <v>1E-4</v>
      </c>
      <c r="Q24" s="66"/>
      <c r="R24" s="66">
        <f t="shared" si="7"/>
        <v>0</v>
      </c>
      <c r="S24" s="67">
        <f t="shared" si="8"/>
        <v>0</v>
      </c>
      <c r="T24" s="26">
        <f t="shared" si="9"/>
        <v>0</v>
      </c>
      <c r="U24" s="44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326">
        <f t="shared" ca="1" si="10"/>
        <v>0</v>
      </c>
      <c r="BA24" s="327">
        <f t="shared" ca="1" si="11"/>
        <v>0</v>
      </c>
      <c r="BC24" s="61">
        <f>IFERROR(SUM(C24:E24)/$K$4,0)</f>
        <v>0</v>
      </c>
      <c r="BD24" s="214"/>
      <c r="BE24" s="305">
        <f t="shared" ca="1" si="12"/>
        <v>0</v>
      </c>
      <c r="BF24" s="217"/>
      <c r="BG24" s="215">
        <f t="shared" ca="1" si="13"/>
        <v>0</v>
      </c>
      <c r="BH24" s="61">
        <f t="shared" si="17"/>
        <v>0</v>
      </c>
      <c r="BI24" s="218">
        <f t="shared" ca="1" si="14"/>
        <v>0</v>
      </c>
      <c r="BJ24" s="216">
        <f ca="1">IFERROR(BI24/$BD$3,0)</f>
        <v>0</v>
      </c>
      <c r="BK24" s="219">
        <f ca="1">SUMIFS(U24:AY24,$U$6:$AY$6,"пл")</f>
        <v>0</v>
      </c>
      <c r="BL24" s="220">
        <f t="shared" ca="1" si="15"/>
        <v>0</v>
      </c>
      <c r="BM24" s="221">
        <f t="shared" ca="1" si="16"/>
        <v>0</v>
      </c>
    </row>
    <row r="25" spans="1:66" s="6" customFormat="1" x14ac:dyDescent="0.25">
      <c r="A25" s="39"/>
      <c r="B25" s="386"/>
      <c r="C25" s="93"/>
      <c r="D25" s="93"/>
      <c r="E25" s="93"/>
      <c r="F25" s="396"/>
      <c r="G25" s="133"/>
      <c r="H25" s="88">
        <f t="shared" si="5"/>
        <v>0</v>
      </c>
      <c r="I25" s="83">
        <f>B25*H25</f>
        <v>0</v>
      </c>
      <c r="J25" s="34">
        <f t="shared" si="1"/>
        <v>0</v>
      </c>
      <c r="K25" s="5">
        <f t="shared" si="2"/>
        <v>0</v>
      </c>
      <c r="L25" s="61"/>
      <c r="M25" s="70"/>
      <c r="N25" s="71" t="str">
        <f t="shared" si="3"/>
        <v/>
      </c>
      <c r="O25" s="68">
        <f>P25*B25</f>
        <v>0</v>
      </c>
      <c r="P25" s="68">
        <f t="shared" si="6"/>
        <v>1E-4</v>
      </c>
      <c r="Q25" s="66"/>
      <c r="R25" s="66">
        <f t="shared" si="7"/>
        <v>0</v>
      </c>
      <c r="S25" s="67">
        <f t="shared" si="8"/>
        <v>0</v>
      </c>
      <c r="T25" s="26">
        <f t="shared" si="9"/>
        <v>0</v>
      </c>
      <c r="U25" s="44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326">
        <f t="shared" ca="1" si="10"/>
        <v>0</v>
      </c>
      <c r="BA25" s="327">
        <f t="shared" ca="1" si="11"/>
        <v>0</v>
      </c>
      <c r="BC25" s="61">
        <f>IFERROR(SUM(C25:E25)/$K$4,0)</f>
        <v>0</v>
      </c>
      <c r="BD25" s="214"/>
      <c r="BE25" s="305">
        <f t="shared" ca="1" si="12"/>
        <v>0</v>
      </c>
      <c r="BF25" s="217"/>
      <c r="BG25" s="215">
        <f t="shared" ca="1" si="13"/>
        <v>0</v>
      </c>
      <c r="BH25" s="61">
        <f t="shared" si="17"/>
        <v>0</v>
      </c>
      <c r="BI25" s="218">
        <f t="shared" ca="1" si="14"/>
        <v>0</v>
      </c>
      <c r="BJ25" s="216">
        <f ca="1">IFERROR(BI25/$BD$3,0)</f>
        <v>0</v>
      </c>
      <c r="BK25" s="219">
        <f ca="1">SUMIFS(U25:AY25,$U$6:$AY$6,"пл")</f>
        <v>0</v>
      </c>
      <c r="BL25" s="220">
        <f t="shared" ca="1" si="15"/>
        <v>0</v>
      </c>
      <c r="BM25" s="221">
        <f t="shared" ca="1" si="16"/>
        <v>0</v>
      </c>
    </row>
    <row r="26" spans="1:66" s="6" customFormat="1" x14ac:dyDescent="0.25">
      <c r="A26" s="39"/>
      <c r="B26" s="386"/>
      <c r="C26" s="93"/>
      <c r="D26" s="93"/>
      <c r="E26" s="93"/>
      <c r="F26" s="396"/>
      <c r="G26" s="133"/>
      <c r="H26" s="88">
        <f t="shared" si="5"/>
        <v>0</v>
      </c>
      <c r="I26" s="83">
        <f>B26*H26</f>
        <v>0</v>
      </c>
      <c r="J26" s="34">
        <f t="shared" si="1"/>
        <v>0</v>
      </c>
      <c r="K26" s="5">
        <f t="shared" si="2"/>
        <v>0</v>
      </c>
      <c r="L26" s="61"/>
      <c r="M26" s="70"/>
      <c r="N26" s="71" t="str">
        <f t="shared" si="3"/>
        <v/>
      </c>
      <c r="O26" s="68">
        <f>P26*B26</f>
        <v>0</v>
      </c>
      <c r="P26" s="68">
        <f t="shared" si="6"/>
        <v>1E-4</v>
      </c>
      <c r="Q26" s="66"/>
      <c r="R26" s="66">
        <f t="shared" si="7"/>
        <v>0</v>
      </c>
      <c r="S26" s="67">
        <f t="shared" si="8"/>
        <v>0</v>
      </c>
      <c r="T26" s="26">
        <f t="shared" si="9"/>
        <v>0</v>
      </c>
      <c r="U26" s="44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326">
        <f t="shared" ca="1" si="10"/>
        <v>0</v>
      </c>
      <c r="BA26" s="327">
        <f t="shared" ca="1" si="11"/>
        <v>0</v>
      </c>
      <c r="BC26" s="61">
        <f>IFERROR(SUM(C26:E26)/$K$4,0)</f>
        <v>0</v>
      </c>
      <c r="BD26" s="214"/>
      <c r="BE26" s="305">
        <f t="shared" ca="1" si="12"/>
        <v>0</v>
      </c>
      <c r="BF26" s="217"/>
      <c r="BG26" s="215">
        <f t="shared" ca="1" si="13"/>
        <v>0</v>
      </c>
      <c r="BH26" s="61">
        <f t="shared" si="17"/>
        <v>0</v>
      </c>
      <c r="BI26" s="218">
        <f t="shared" ca="1" si="14"/>
        <v>0</v>
      </c>
      <c r="BJ26" s="216">
        <f ca="1">IFERROR(BI26/$BD$3,0)</f>
        <v>0</v>
      </c>
      <c r="BK26" s="219">
        <f ca="1">SUMIFS(U26:AY26,$U$6:$AY$6,"пл")</f>
        <v>0</v>
      </c>
      <c r="BL26" s="220">
        <f t="shared" ca="1" si="15"/>
        <v>0</v>
      </c>
      <c r="BM26" s="221">
        <f t="shared" ca="1" si="16"/>
        <v>0</v>
      </c>
    </row>
    <row r="27" spans="1:66" s="6" customFormat="1" x14ac:dyDescent="0.25">
      <c r="A27" s="40"/>
      <c r="B27" s="387"/>
      <c r="C27" s="94"/>
      <c r="D27" s="94"/>
      <c r="E27" s="94"/>
      <c r="F27" s="396"/>
      <c r="G27" s="133"/>
      <c r="H27" s="88">
        <f t="shared" si="5"/>
        <v>0</v>
      </c>
      <c r="I27" s="84">
        <f>B27*H27</f>
        <v>0</v>
      </c>
      <c r="J27" s="35">
        <f t="shared" si="1"/>
        <v>0</v>
      </c>
      <c r="K27" s="7">
        <f t="shared" si="2"/>
        <v>0</v>
      </c>
      <c r="L27" s="62"/>
      <c r="M27" s="70"/>
      <c r="N27" s="71" t="str">
        <f t="shared" si="3"/>
        <v/>
      </c>
      <c r="O27" s="68">
        <f>P27*B27</f>
        <v>0</v>
      </c>
      <c r="P27" s="68">
        <f t="shared" si="6"/>
        <v>1E-4</v>
      </c>
      <c r="Q27" s="66"/>
      <c r="R27" s="66">
        <f t="shared" si="7"/>
        <v>0</v>
      </c>
      <c r="S27" s="67">
        <f t="shared" si="8"/>
        <v>0</v>
      </c>
      <c r="T27" s="26">
        <f t="shared" si="9"/>
        <v>0</v>
      </c>
      <c r="U27" s="44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326">
        <f t="shared" ca="1" si="10"/>
        <v>0</v>
      </c>
      <c r="BA27" s="327">
        <f t="shared" ca="1" si="11"/>
        <v>0</v>
      </c>
      <c r="BC27" s="61">
        <f>IFERROR(SUM(C27:E27)/$K$4,0)</f>
        <v>0</v>
      </c>
      <c r="BD27" s="214"/>
      <c r="BE27" s="305">
        <f t="shared" ca="1" si="12"/>
        <v>0</v>
      </c>
      <c r="BF27" s="217"/>
      <c r="BG27" s="215">
        <f t="shared" ca="1" si="13"/>
        <v>0</v>
      </c>
      <c r="BH27" s="61">
        <f t="shared" si="17"/>
        <v>0</v>
      </c>
      <c r="BI27" s="218">
        <f t="shared" ca="1" si="14"/>
        <v>0</v>
      </c>
      <c r="BJ27" s="216">
        <f ca="1">IFERROR(BI27/$BD$3,0)</f>
        <v>0</v>
      </c>
      <c r="BK27" s="219">
        <f ca="1">SUMIFS(U27:AY27,$U$6:$AY$6,"пл")</f>
        <v>0</v>
      </c>
      <c r="BL27" s="220">
        <f t="shared" ca="1" si="15"/>
        <v>0</v>
      </c>
      <c r="BM27" s="221">
        <f t="shared" ca="1" si="16"/>
        <v>0</v>
      </c>
    </row>
    <row r="28" spans="1:66" s="6" customFormat="1" x14ac:dyDescent="0.25">
      <c r="A28" s="38"/>
      <c r="B28" s="386"/>
      <c r="C28" s="93"/>
      <c r="D28" s="93"/>
      <c r="E28" s="93"/>
      <c r="F28" s="396"/>
      <c r="G28" s="133"/>
      <c r="H28" s="88">
        <f t="shared" si="5"/>
        <v>0</v>
      </c>
      <c r="I28" s="83">
        <f>B28*H28</f>
        <v>0</v>
      </c>
      <c r="J28" s="34">
        <f t="shared" si="1"/>
        <v>0</v>
      </c>
      <c r="K28" s="5">
        <f t="shared" si="2"/>
        <v>0</v>
      </c>
      <c r="L28" s="61"/>
      <c r="M28" s="70"/>
      <c r="N28" s="71" t="str">
        <f t="shared" si="3"/>
        <v/>
      </c>
      <c r="O28" s="68">
        <f>P28*B28</f>
        <v>0</v>
      </c>
      <c r="P28" s="68">
        <f t="shared" si="6"/>
        <v>1E-4</v>
      </c>
      <c r="Q28" s="66"/>
      <c r="R28" s="66">
        <f t="shared" si="7"/>
        <v>0</v>
      </c>
      <c r="S28" s="67">
        <f t="shared" si="8"/>
        <v>0</v>
      </c>
      <c r="T28" s="26">
        <f t="shared" si="9"/>
        <v>0</v>
      </c>
      <c r="U28" s="44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326">
        <f t="shared" ca="1" si="10"/>
        <v>0</v>
      </c>
      <c r="BA28" s="327">
        <f t="shared" ca="1" si="11"/>
        <v>0</v>
      </c>
      <c r="BC28" s="61">
        <f>IFERROR(SUM(C28:E28)/$K$4,0)</f>
        <v>0</v>
      </c>
      <c r="BD28" s="214"/>
      <c r="BE28" s="305">
        <f t="shared" ca="1" si="12"/>
        <v>0</v>
      </c>
      <c r="BF28" s="217"/>
      <c r="BG28" s="215">
        <f t="shared" ca="1" si="13"/>
        <v>0</v>
      </c>
      <c r="BH28" s="61">
        <f t="shared" si="17"/>
        <v>0</v>
      </c>
      <c r="BI28" s="218">
        <f t="shared" ca="1" si="14"/>
        <v>0</v>
      </c>
      <c r="BJ28" s="216">
        <f ca="1">IFERROR(BI28/$BD$3,0)</f>
        <v>0</v>
      </c>
      <c r="BK28" s="219">
        <f ca="1">SUMIFS(U28:AY28,$U$6:$AY$6,"пл")</f>
        <v>0</v>
      </c>
      <c r="BL28" s="220">
        <f t="shared" ca="1" si="15"/>
        <v>0</v>
      </c>
      <c r="BM28" s="221">
        <f t="shared" ca="1" si="16"/>
        <v>0</v>
      </c>
    </row>
    <row r="29" spans="1:66" s="6" customFormat="1" x14ac:dyDescent="0.25">
      <c r="A29" s="38"/>
      <c r="B29" s="386"/>
      <c r="C29" s="54"/>
      <c r="D29" s="54"/>
      <c r="E29" s="54"/>
      <c r="F29" s="397"/>
      <c r="G29" s="138"/>
      <c r="H29" s="88">
        <f t="shared" si="5"/>
        <v>0</v>
      </c>
      <c r="I29" s="83">
        <f>B29*H29</f>
        <v>0</v>
      </c>
      <c r="J29" s="34">
        <f t="shared" si="1"/>
        <v>0</v>
      </c>
      <c r="K29" s="5">
        <f t="shared" si="2"/>
        <v>0</v>
      </c>
      <c r="L29" s="61"/>
      <c r="M29" s="70"/>
      <c r="N29" s="71" t="str">
        <f t="shared" si="3"/>
        <v/>
      </c>
      <c r="O29" s="68">
        <f>P29*B29</f>
        <v>0</v>
      </c>
      <c r="P29" s="68">
        <f t="shared" si="6"/>
        <v>1E-4</v>
      </c>
      <c r="Q29" s="66"/>
      <c r="R29" s="66">
        <f t="shared" si="7"/>
        <v>0</v>
      </c>
      <c r="S29" s="67">
        <f t="shared" si="8"/>
        <v>0</v>
      </c>
      <c r="T29" s="26">
        <f t="shared" si="9"/>
        <v>0</v>
      </c>
      <c r="U29" s="44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326">
        <f t="shared" ca="1" si="10"/>
        <v>0</v>
      </c>
      <c r="BA29" s="327">
        <f t="shared" ca="1" si="11"/>
        <v>0</v>
      </c>
      <c r="BC29" s="61">
        <f>IFERROR(SUM(C29:E29)/$K$4,0)</f>
        <v>0</v>
      </c>
      <c r="BD29" s="214"/>
      <c r="BE29" s="305">
        <f t="shared" ca="1" si="12"/>
        <v>0</v>
      </c>
      <c r="BF29" s="217"/>
      <c r="BG29" s="215">
        <f t="shared" ca="1" si="13"/>
        <v>0</v>
      </c>
      <c r="BH29" s="61">
        <f t="shared" si="17"/>
        <v>0</v>
      </c>
      <c r="BI29" s="218">
        <f t="shared" ca="1" si="14"/>
        <v>0</v>
      </c>
      <c r="BJ29" s="216">
        <f ca="1">IFERROR(BI29/$BD$3,0)</f>
        <v>0</v>
      </c>
      <c r="BK29" s="219">
        <f ca="1">SUMIFS(U29:AY29,$U$6:$AY$6,"пл")</f>
        <v>0</v>
      </c>
      <c r="BL29" s="220">
        <f t="shared" ca="1" si="15"/>
        <v>0</v>
      </c>
      <c r="BM29" s="221">
        <f t="shared" ca="1" si="16"/>
        <v>0</v>
      </c>
    </row>
    <row r="30" spans="1:66" s="6" customFormat="1" x14ac:dyDescent="0.25">
      <c r="A30" s="38"/>
      <c r="B30" s="386"/>
      <c r="C30" s="54"/>
      <c r="D30" s="54"/>
      <c r="E30" s="54"/>
      <c r="F30" s="397"/>
      <c r="G30" s="138"/>
      <c r="H30" s="88">
        <f t="shared" si="5"/>
        <v>0</v>
      </c>
      <c r="I30" s="83">
        <f>B30*H30</f>
        <v>0</v>
      </c>
      <c r="J30" s="34">
        <f t="shared" si="1"/>
        <v>0</v>
      </c>
      <c r="K30" s="5">
        <f t="shared" si="2"/>
        <v>0</v>
      </c>
      <c r="L30" s="61"/>
      <c r="M30" s="70"/>
      <c r="N30" s="71" t="str">
        <f t="shared" si="3"/>
        <v/>
      </c>
      <c r="O30" s="68">
        <f>P30*B30</f>
        <v>0</v>
      </c>
      <c r="P30" s="68">
        <f t="shared" si="6"/>
        <v>1E-4</v>
      </c>
      <c r="Q30" s="66"/>
      <c r="R30" s="66">
        <f t="shared" si="7"/>
        <v>0</v>
      </c>
      <c r="S30" s="67">
        <f t="shared" si="8"/>
        <v>0</v>
      </c>
      <c r="T30" s="26">
        <f t="shared" si="9"/>
        <v>0</v>
      </c>
      <c r="U30" s="44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326">
        <f t="shared" ca="1" si="10"/>
        <v>0</v>
      </c>
      <c r="BA30" s="327">
        <f t="shared" ca="1" si="11"/>
        <v>0</v>
      </c>
      <c r="BC30" s="61">
        <f>IFERROR(SUM(C30:E30)/$K$4,0)</f>
        <v>0</v>
      </c>
      <c r="BD30" s="214"/>
      <c r="BE30" s="305">
        <f t="shared" ca="1" si="12"/>
        <v>0</v>
      </c>
      <c r="BF30" s="217"/>
      <c r="BG30" s="215">
        <f t="shared" ca="1" si="13"/>
        <v>0</v>
      </c>
      <c r="BH30" s="61">
        <f t="shared" si="17"/>
        <v>0</v>
      </c>
      <c r="BI30" s="218">
        <f t="shared" ca="1" si="14"/>
        <v>0</v>
      </c>
      <c r="BJ30" s="216">
        <f ca="1">IFERROR(BI30/$BD$3,0)</f>
        <v>0</v>
      </c>
      <c r="BK30" s="219">
        <f ca="1">SUMIFS(U30:AY30,$U$6:$AY$6,"пл")</f>
        <v>0</v>
      </c>
      <c r="BL30" s="220">
        <f t="shared" ca="1" si="15"/>
        <v>0</v>
      </c>
      <c r="BM30" s="221">
        <f t="shared" ca="1" si="16"/>
        <v>0</v>
      </c>
    </row>
    <row r="31" spans="1:66" s="6" customFormat="1" ht="15.75" thickBot="1" x14ac:dyDescent="0.3">
      <c r="A31" s="41"/>
      <c r="B31" s="388"/>
      <c r="C31" s="55"/>
      <c r="D31" s="55"/>
      <c r="E31" s="55"/>
      <c r="F31" s="398"/>
      <c r="G31" s="139"/>
      <c r="H31" s="88">
        <f t="shared" si="5"/>
        <v>0</v>
      </c>
      <c r="I31" s="85">
        <f>B31*H31</f>
        <v>0</v>
      </c>
      <c r="J31" s="36">
        <f t="shared" si="1"/>
        <v>0</v>
      </c>
      <c r="K31" s="13">
        <f t="shared" si="2"/>
        <v>0</v>
      </c>
      <c r="L31" s="63"/>
      <c r="M31" s="72"/>
      <c r="N31" s="73" t="str">
        <f t="shared" si="3"/>
        <v/>
      </c>
      <c r="O31" s="68">
        <f>P31*B31</f>
        <v>0</v>
      </c>
      <c r="P31" s="68">
        <f t="shared" si="6"/>
        <v>1E-4</v>
      </c>
      <c r="Q31" s="66"/>
      <c r="R31" s="66">
        <f t="shared" si="7"/>
        <v>0</v>
      </c>
      <c r="S31" s="67">
        <f t="shared" si="8"/>
        <v>0</v>
      </c>
      <c r="T31" s="26">
        <f t="shared" si="9"/>
        <v>0</v>
      </c>
      <c r="U31" s="44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324">
        <f t="shared" ca="1" si="10"/>
        <v>0</v>
      </c>
      <c r="BA31" s="329">
        <f t="shared" ca="1" si="11"/>
        <v>0</v>
      </c>
      <c r="BC31" s="61">
        <f>IFERROR(SUM(C31:E31)/$K$4,0)</f>
        <v>0</v>
      </c>
      <c r="BD31" s="242"/>
      <c r="BE31" s="509">
        <f t="shared" ca="1" si="12"/>
        <v>0</v>
      </c>
      <c r="BF31" s="217"/>
      <c r="BG31" s="215">
        <f t="shared" ca="1" si="13"/>
        <v>0</v>
      </c>
      <c r="BH31" s="61">
        <f t="shared" si="17"/>
        <v>0</v>
      </c>
      <c r="BI31" s="240">
        <f t="shared" ca="1" si="14"/>
        <v>0</v>
      </c>
      <c r="BJ31" s="241">
        <f ca="1">IFERROR(BI31/$BD$3,0)</f>
        <v>0</v>
      </c>
      <c r="BK31" s="219">
        <f ca="1">SUMIFS(U31:AY31,$U$6:$AY$6,"пл")</f>
        <v>0</v>
      </c>
      <c r="BL31" s="511">
        <f t="shared" ca="1" si="15"/>
        <v>0</v>
      </c>
      <c r="BM31" s="244">
        <f t="shared" ca="1" si="16"/>
        <v>0</v>
      </c>
    </row>
    <row r="32" spans="1:66" s="1" customFormat="1" ht="15.75" thickBot="1" x14ac:dyDescent="0.3">
      <c r="A32" s="28" t="s">
        <v>3</v>
      </c>
      <c r="B32" s="33"/>
      <c r="C32" s="82"/>
      <c r="D32" s="82"/>
      <c r="E32" s="82"/>
      <c r="F32" s="136"/>
      <c r="G32" s="136"/>
      <c r="H32" s="86"/>
      <c r="I32" s="28">
        <f>SUM(I8:I31)</f>
        <v>0</v>
      </c>
      <c r="J32" s="37">
        <f>IFERROR(I32/$K$3,0)</f>
        <v>0</v>
      </c>
      <c r="K32" s="32">
        <f>IFERROR(ROUND(J32/$K$2,0),0)</f>
        <v>0</v>
      </c>
      <c r="L32" s="33">
        <f>IFERROR(ROUND(K32/K1,0),0)</f>
        <v>0</v>
      </c>
      <c r="M32" s="74">
        <f>SUM(M8:M31)</f>
        <v>0</v>
      </c>
      <c r="N32" s="75" t="str">
        <f t="shared" si="3"/>
        <v/>
      </c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BA32" s="33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</row>
    <row r="33" spans="1:66" s="31" customFormat="1" x14ac:dyDescent="0.25">
      <c r="A33" s="417" t="s">
        <v>89</v>
      </c>
      <c r="B33" s="418"/>
      <c r="C33" s="418"/>
      <c r="D33" s="418"/>
      <c r="E33" s="419"/>
      <c r="F33" s="132"/>
      <c r="G33" s="132"/>
      <c r="H33" s="30"/>
      <c r="I33" s="29">
        <f>J33*K3</f>
        <v>16709</v>
      </c>
      <c r="J33" s="29">
        <f>K33*K2</f>
        <v>682</v>
      </c>
      <c r="K33" s="29">
        <f>L33*K1</f>
        <v>62</v>
      </c>
      <c r="L33" s="53">
        <f>K4/6*4</f>
        <v>20.666666666666668</v>
      </c>
      <c r="M33" s="1"/>
      <c r="N33" s="1"/>
      <c r="T33" s="89" t="s">
        <v>97</v>
      </c>
      <c r="U33" s="90">
        <f>U38-U36</f>
        <v>2</v>
      </c>
      <c r="V33" s="90">
        <f t="shared" ref="V33:AY33" si="18">V38-V36</f>
        <v>1</v>
      </c>
      <c r="W33" s="90">
        <f t="shared" si="18"/>
        <v>2</v>
      </c>
      <c r="X33" s="90">
        <f t="shared" si="18"/>
        <v>2</v>
      </c>
      <c r="Y33" s="90">
        <f t="shared" si="18"/>
        <v>2</v>
      </c>
      <c r="Z33" s="90">
        <f t="shared" si="18"/>
        <v>3</v>
      </c>
      <c r="AA33" s="90">
        <f t="shared" si="18"/>
        <v>3</v>
      </c>
      <c r="AB33" s="90">
        <f t="shared" si="18"/>
        <v>0</v>
      </c>
      <c r="AC33" s="90">
        <f t="shared" si="18"/>
        <v>0</v>
      </c>
      <c r="AD33" s="90">
        <f t="shared" si="18"/>
        <v>2</v>
      </c>
      <c r="AE33" s="90">
        <f t="shared" si="18"/>
        <v>2</v>
      </c>
      <c r="AF33" s="90">
        <f t="shared" si="18"/>
        <v>2</v>
      </c>
      <c r="AG33" s="90">
        <f t="shared" si="18"/>
        <v>2</v>
      </c>
      <c r="AH33" s="90">
        <f t="shared" si="18"/>
        <v>2</v>
      </c>
      <c r="AI33" s="90">
        <f t="shared" si="18"/>
        <v>0</v>
      </c>
      <c r="AJ33" s="90">
        <f t="shared" si="18"/>
        <v>0</v>
      </c>
      <c r="AK33" s="90">
        <f t="shared" si="18"/>
        <v>1</v>
      </c>
      <c r="AL33" s="90">
        <f t="shared" si="18"/>
        <v>1</v>
      </c>
      <c r="AM33" s="90">
        <f t="shared" si="18"/>
        <v>1</v>
      </c>
      <c r="AN33" s="90">
        <f t="shared" si="18"/>
        <v>1</v>
      </c>
      <c r="AO33" s="90">
        <f t="shared" si="18"/>
        <v>1</v>
      </c>
      <c r="AP33" s="90">
        <f t="shared" si="18"/>
        <v>0</v>
      </c>
      <c r="AQ33" s="90">
        <f t="shared" si="18"/>
        <v>0</v>
      </c>
      <c r="AR33" s="90">
        <f t="shared" si="18"/>
        <v>1</v>
      </c>
      <c r="AS33" s="90">
        <f t="shared" si="18"/>
        <v>1</v>
      </c>
      <c r="AT33" s="90">
        <f t="shared" si="18"/>
        <v>1</v>
      </c>
      <c r="AU33" s="90">
        <f t="shared" si="18"/>
        <v>1</v>
      </c>
      <c r="AV33" s="90">
        <f t="shared" si="18"/>
        <v>0</v>
      </c>
      <c r="AW33" s="90">
        <f t="shared" si="18"/>
        <v>0</v>
      </c>
      <c r="AX33" s="90">
        <f t="shared" si="18"/>
        <v>1</v>
      </c>
      <c r="AY33" s="90">
        <f t="shared" si="18"/>
        <v>0</v>
      </c>
      <c r="AZ33" s="90">
        <f>SUM(U33:AY33)</f>
        <v>35</v>
      </c>
      <c r="BA33" s="333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</row>
    <row r="34" spans="1:66" s="1" customFormat="1" ht="15.75" thickBot="1" x14ac:dyDescent="0.3">
      <c r="G34" s="1" t="s">
        <v>253</v>
      </c>
      <c r="K34" s="147">
        <f>IFERROR(K32/L1,0)</f>
        <v>0</v>
      </c>
      <c r="BA34" s="33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</row>
    <row r="35" spans="1:66" s="2" customFormat="1" ht="16.5" thickTop="1" thickBot="1" x14ac:dyDescent="0.3">
      <c r="T35" s="17" t="s">
        <v>67</v>
      </c>
      <c r="U35" s="91">
        <f t="shared" ref="U35:AY35" si="19">SUMPRODUCT(U8:U31/$P$8:$P$31)</f>
        <v>0</v>
      </c>
      <c r="V35" s="91">
        <f t="shared" si="19"/>
        <v>0</v>
      </c>
      <c r="W35" s="91">
        <f t="shared" si="19"/>
        <v>0</v>
      </c>
      <c r="X35" s="91">
        <f t="shared" si="19"/>
        <v>0</v>
      </c>
      <c r="Y35" s="91">
        <f t="shared" si="19"/>
        <v>0</v>
      </c>
      <c r="Z35" s="91">
        <f t="shared" si="19"/>
        <v>0</v>
      </c>
      <c r="AA35" s="91">
        <f t="shared" si="19"/>
        <v>0</v>
      </c>
      <c r="AB35" s="91">
        <f t="shared" si="19"/>
        <v>0</v>
      </c>
      <c r="AC35" s="91">
        <f t="shared" si="19"/>
        <v>0</v>
      </c>
      <c r="AD35" s="91">
        <f t="shared" si="19"/>
        <v>0</v>
      </c>
      <c r="AE35" s="91">
        <f t="shared" si="19"/>
        <v>0</v>
      </c>
      <c r="AF35" s="91">
        <f t="shared" si="19"/>
        <v>0</v>
      </c>
      <c r="AG35" s="91">
        <f t="shared" si="19"/>
        <v>0</v>
      </c>
      <c r="AH35" s="91">
        <f t="shared" si="19"/>
        <v>0</v>
      </c>
      <c r="AI35" s="91">
        <f t="shared" si="19"/>
        <v>0</v>
      </c>
      <c r="AJ35" s="91">
        <f t="shared" si="19"/>
        <v>0</v>
      </c>
      <c r="AK35" s="91">
        <f t="shared" si="19"/>
        <v>0</v>
      </c>
      <c r="AL35" s="91">
        <f t="shared" si="19"/>
        <v>0</v>
      </c>
      <c r="AM35" s="91">
        <f t="shared" si="19"/>
        <v>0</v>
      </c>
      <c r="AN35" s="91">
        <f t="shared" si="19"/>
        <v>0</v>
      </c>
      <c r="AO35" s="91">
        <f t="shared" si="19"/>
        <v>0</v>
      </c>
      <c r="AP35" s="91">
        <f t="shared" si="19"/>
        <v>0</v>
      </c>
      <c r="AQ35" s="91">
        <f t="shared" si="19"/>
        <v>0</v>
      </c>
      <c r="AR35" s="91">
        <f t="shared" si="19"/>
        <v>0</v>
      </c>
      <c r="AS35" s="91">
        <f t="shared" si="19"/>
        <v>0</v>
      </c>
      <c r="AT35" s="91">
        <f t="shared" si="19"/>
        <v>0</v>
      </c>
      <c r="AU35" s="91">
        <f t="shared" si="19"/>
        <v>0</v>
      </c>
      <c r="AV35" s="91">
        <f t="shared" si="19"/>
        <v>0</v>
      </c>
      <c r="AW35" s="91">
        <f t="shared" si="19"/>
        <v>0</v>
      </c>
      <c r="AX35" s="91">
        <f t="shared" si="19"/>
        <v>0</v>
      </c>
      <c r="AY35" s="91">
        <f t="shared" si="19"/>
        <v>0</v>
      </c>
      <c r="AZ35" s="257">
        <f>SUM(U35:AY35)</f>
        <v>0</v>
      </c>
      <c r="BA35" s="29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</row>
    <row r="36" spans="1:66" s="2" customFormat="1" ht="15.75" thickBot="1" x14ac:dyDescent="0.3">
      <c r="T36" s="22" t="s">
        <v>68</v>
      </c>
      <c r="U36" s="27">
        <f>ROUND(U35/$K$2,1)</f>
        <v>0</v>
      </c>
      <c r="V36" s="23">
        <f t="shared" ref="V36:AY36" si="20">ROUND(V35/$K$2,1)</f>
        <v>0</v>
      </c>
      <c r="W36" s="23">
        <f t="shared" si="20"/>
        <v>0</v>
      </c>
      <c r="X36" s="23">
        <f t="shared" si="20"/>
        <v>0</v>
      </c>
      <c r="Y36" s="23">
        <f t="shared" si="20"/>
        <v>0</v>
      </c>
      <c r="Z36" s="23">
        <f t="shared" si="20"/>
        <v>0</v>
      </c>
      <c r="AA36" s="23">
        <f t="shared" si="20"/>
        <v>0</v>
      </c>
      <c r="AB36" s="23">
        <f t="shared" si="20"/>
        <v>0</v>
      </c>
      <c r="AC36" s="23">
        <f t="shared" si="20"/>
        <v>0</v>
      </c>
      <c r="AD36" s="23">
        <f t="shared" si="20"/>
        <v>0</v>
      </c>
      <c r="AE36" s="23">
        <f t="shared" si="20"/>
        <v>0</v>
      </c>
      <c r="AF36" s="23">
        <f t="shared" si="20"/>
        <v>0</v>
      </c>
      <c r="AG36" s="23">
        <f t="shared" si="20"/>
        <v>0</v>
      </c>
      <c r="AH36" s="23">
        <f t="shared" si="20"/>
        <v>0</v>
      </c>
      <c r="AI36" s="23">
        <f t="shared" si="20"/>
        <v>0</v>
      </c>
      <c r="AJ36" s="23">
        <f t="shared" si="20"/>
        <v>0</v>
      </c>
      <c r="AK36" s="23">
        <f t="shared" si="20"/>
        <v>0</v>
      </c>
      <c r="AL36" s="23">
        <f t="shared" si="20"/>
        <v>0</v>
      </c>
      <c r="AM36" s="23">
        <f t="shared" si="20"/>
        <v>0</v>
      </c>
      <c r="AN36" s="23">
        <f t="shared" si="20"/>
        <v>0</v>
      </c>
      <c r="AO36" s="23">
        <f t="shared" si="20"/>
        <v>0</v>
      </c>
      <c r="AP36" s="23">
        <f t="shared" si="20"/>
        <v>0</v>
      </c>
      <c r="AQ36" s="23">
        <f t="shared" si="20"/>
        <v>0</v>
      </c>
      <c r="AR36" s="23">
        <f t="shared" si="20"/>
        <v>0</v>
      </c>
      <c r="AS36" s="23">
        <f t="shared" si="20"/>
        <v>0</v>
      </c>
      <c r="AT36" s="23">
        <f t="shared" si="20"/>
        <v>0</v>
      </c>
      <c r="AU36" s="23">
        <f t="shared" si="20"/>
        <v>0</v>
      </c>
      <c r="AV36" s="23">
        <f t="shared" si="20"/>
        <v>0</v>
      </c>
      <c r="AW36" s="23">
        <f t="shared" si="20"/>
        <v>0</v>
      </c>
      <c r="AX36" s="23">
        <f t="shared" si="20"/>
        <v>0</v>
      </c>
      <c r="AY36" s="24">
        <f t="shared" si="20"/>
        <v>0</v>
      </c>
      <c r="AZ36" s="260">
        <f>SUM(U36:AY36)</f>
        <v>0</v>
      </c>
      <c r="BA36" s="29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</row>
    <row r="37" spans="1:66" s="2" customFormat="1" ht="15.75" thickBot="1" x14ac:dyDescent="0.3">
      <c r="A37" s="12"/>
      <c r="T37" s="21" t="s">
        <v>69</v>
      </c>
      <c r="U37" s="21" t="str">
        <f>IF(U36=0, "",IF(U36&gt;U38, "!!!", "ок"))</f>
        <v/>
      </c>
      <c r="V37" s="21" t="str">
        <f t="shared" ref="V37:AY37" si="21">IF(V36=0, "",IF(V36&gt;V38, "!!!", "ок"))</f>
        <v/>
      </c>
      <c r="W37" s="21" t="str">
        <f t="shared" si="21"/>
        <v/>
      </c>
      <c r="X37" s="21" t="str">
        <f t="shared" si="21"/>
        <v/>
      </c>
      <c r="Y37" s="21" t="str">
        <f t="shared" si="21"/>
        <v/>
      </c>
      <c r="Z37" s="21" t="str">
        <f t="shared" si="21"/>
        <v/>
      </c>
      <c r="AA37" s="21" t="str">
        <f t="shared" si="21"/>
        <v/>
      </c>
      <c r="AB37" s="21" t="str">
        <f t="shared" si="21"/>
        <v/>
      </c>
      <c r="AC37" s="21" t="str">
        <f t="shared" si="21"/>
        <v/>
      </c>
      <c r="AD37" s="21" t="str">
        <f t="shared" si="21"/>
        <v/>
      </c>
      <c r="AE37" s="21" t="str">
        <f t="shared" si="21"/>
        <v/>
      </c>
      <c r="AF37" s="21" t="str">
        <f t="shared" si="21"/>
        <v/>
      </c>
      <c r="AG37" s="21" t="str">
        <f t="shared" si="21"/>
        <v/>
      </c>
      <c r="AH37" s="21" t="str">
        <f t="shared" si="21"/>
        <v/>
      </c>
      <c r="AI37" s="21" t="str">
        <f t="shared" si="21"/>
        <v/>
      </c>
      <c r="AJ37" s="21" t="str">
        <f t="shared" si="21"/>
        <v/>
      </c>
      <c r="AK37" s="21" t="str">
        <f t="shared" si="21"/>
        <v/>
      </c>
      <c r="AL37" s="21" t="str">
        <f t="shared" si="21"/>
        <v/>
      </c>
      <c r="AM37" s="21" t="str">
        <f t="shared" si="21"/>
        <v/>
      </c>
      <c r="AN37" s="21" t="str">
        <f t="shared" si="21"/>
        <v/>
      </c>
      <c r="AO37" s="21" t="str">
        <f t="shared" si="21"/>
        <v/>
      </c>
      <c r="AP37" s="21" t="str">
        <f t="shared" si="21"/>
        <v/>
      </c>
      <c r="AQ37" s="21" t="str">
        <f t="shared" si="21"/>
        <v/>
      </c>
      <c r="AR37" s="21" t="str">
        <f t="shared" si="21"/>
        <v/>
      </c>
      <c r="AS37" s="21" t="str">
        <f t="shared" si="21"/>
        <v/>
      </c>
      <c r="AT37" s="21" t="str">
        <f t="shared" si="21"/>
        <v/>
      </c>
      <c r="AU37" s="21" t="str">
        <f t="shared" si="21"/>
        <v/>
      </c>
      <c r="AV37" s="21" t="str">
        <f t="shared" si="21"/>
        <v/>
      </c>
      <c r="AW37" s="21" t="str">
        <f t="shared" si="21"/>
        <v/>
      </c>
      <c r="AX37" s="21" t="str">
        <f t="shared" si="21"/>
        <v/>
      </c>
      <c r="AY37" s="21" t="str">
        <f t="shared" si="21"/>
        <v/>
      </c>
      <c r="AZ37" s="258"/>
      <c r="BA37" s="293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</row>
    <row r="38" spans="1:66" s="3" customFormat="1" ht="29.25" customHeight="1" thickBot="1" x14ac:dyDescent="0.3">
      <c r="A38" s="52" t="s">
        <v>76</v>
      </c>
      <c r="B38" s="52"/>
      <c r="C38" s="52"/>
      <c r="D38" s="52"/>
      <c r="E38" s="52"/>
      <c r="F38" s="52"/>
      <c r="G38" s="52"/>
      <c r="H38" s="52"/>
      <c r="I38" s="52" t="s">
        <v>105</v>
      </c>
      <c r="J38" s="52" t="s">
        <v>5</v>
      </c>
      <c r="K38" s="52" t="s">
        <v>6</v>
      </c>
      <c r="L38" s="52" t="s">
        <v>106</v>
      </c>
      <c r="M38" s="2"/>
      <c r="N38" s="2"/>
      <c r="T38" s="18" t="s">
        <v>66</v>
      </c>
      <c r="U38" s="19">
        <f>SUM(U39:U45)</f>
        <v>2</v>
      </c>
      <c r="V38" s="19">
        <f t="shared" ref="V38:AX38" si="22">SUM(V39:V45)</f>
        <v>1</v>
      </c>
      <c r="W38" s="19">
        <f t="shared" si="22"/>
        <v>2</v>
      </c>
      <c r="X38" s="19">
        <f t="shared" si="22"/>
        <v>2</v>
      </c>
      <c r="Y38" s="19">
        <f t="shared" si="22"/>
        <v>2</v>
      </c>
      <c r="Z38" s="19">
        <f t="shared" si="22"/>
        <v>3</v>
      </c>
      <c r="AA38" s="19">
        <f t="shared" si="22"/>
        <v>3</v>
      </c>
      <c r="AB38" s="19">
        <f t="shared" si="22"/>
        <v>0</v>
      </c>
      <c r="AC38" s="19">
        <f t="shared" si="22"/>
        <v>0</v>
      </c>
      <c r="AD38" s="19">
        <f t="shared" si="22"/>
        <v>2</v>
      </c>
      <c r="AE38" s="19">
        <f t="shared" si="22"/>
        <v>2</v>
      </c>
      <c r="AF38" s="19">
        <f t="shared" si="22"/>
        <v>2</v>
      </c>
      <c r="AG38" s="19">
        <f t="shared" si="22"/>
        <v>2</v>
      </c>
      <c r="AH38" s="19">
        <f t="shared" si="22"/>
        <v>2</v>
      </c>
      <c r="AI38" s="19">
        <f t="shared" si="22"/>
        <v>0</v>
      </c>
      <c r="AJ38" s="19">
        <f t="shared" si="22"/>
        <v>0</v>
      </c>
      <c r="AK38" s="19">
        <f t="shared" si="22"/>
        <v>1</v>
      </c>
      <c r="AL38" s="19">
        <f t="shared" si="22"/>
        <v>1</v>
      </c>
      <c r="AM38" s="19">
        <f t="shared" si="22"/>
        <v>1</v>
      </c>
      <c r="AN38" s="19">
        <f t="shared" si="22"/>
        <v>1</v>
      </c>
      <c r="AO38" s="19">
        <f t="shared" si="22"/>
        <v>1</v>
      </c>
      <c r="AP38" s="19">
        <f t="shared" si="22"/>
        <v>0</v>
      </c>
      <c r="AQ38" s="19">
        <f t="shared" si="22"/>
        <v>0</v>
      </c>
      <c r="AR38" s="19">
        <f t="shared" si="22"/>
        <v>1</v>
      </c>
      <c r="AS38" s="19">
        <f t="shared" si="22"/>
        <v>1</v>
      </c>
      <c r="AT38" s="19">
        <f t="shared" si="22"/>
        <v>1</v>
      </c>
      <c r="AU38" s="19">
        <f t="shared" si="22"/>
        <v>1</v>
      </c>
      <c r="AV38" s="19">
        <f t="shared" si="22"/>
        <v>0</v>
      </c>
      <c r="AW38" s="19">
        <f t="shared" si="22"/>
        <v>0</v>
      </c>
      <c r="AX38" s="19">
        <f t="shared" si="22"/>
        <v>1</v>
      </c>
      <c r="AY38" s="20"/>
      <c r="AZ38" s="261">
        <f>SUM(U38:AY38)</f>
        <v>35</v>
      </c>
      <c r="BA38" s="292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</row>
    <row r="39" spans="1:66" s="2" customFormat="1" x14ac:dyDescent="0.25">
      <c r="A39" s="8" t="s">
        <v>77</v>
      </c>
      <c r="B39" s="8"/>
      <c r="C39" s="8"/>
      <c r="D39" s="8"/>
      <c r="E39" s="8"/>
      <c r="F39" s="8"/>
      <c r="G39" s="8"/>
      <c r="H39" s="8"/>
      <c r="I39" s="8">
        <f>M32</f>
        <v>0</v>
      </c>
      <c r="J39" s="8">
        <f>K39*K2</f>
        <v>0</v>
      </c>
      <c r="K39" s="50"/>
      <c r="L39" s="8">
        <f>IFERROR(I39/J39,0)</f>
        <v>0</v>
      </c>
      <c r="T39" s="270" t="s">
        <v>362</v>
      </c>
      <c r="U39" s="163">
        <v>1</v>
      </c>
      <c r="V39" s="163">
        <v>1</v>
      </c>
      <c r="W39" s="163">
        <v>1</v>
      </c>
      <c r="X39" s="164" t="s">
        <v>112</v>
      </c>
      <c r="Y39" s="164" t="s">
        <v>112</v>
      </c>
      <c r="Z39" s="163">
        <v>1</v>
      </c>
      <c r="AA39" s="163">
        <v>1</v>
      </c>
      <c r="AB39" s="164" t="s">
        <v>112</v>
      </c>
      <c r="AC39" s="164" t="s">
        <v>112</v>
      </c>
      <c r="AD39" s="163">
        <v>1</v>
      </c>
      <c r="AE39" s="163">
        <v>1</v>
      </c>
      <c r="AF39" s="163">
        <v>1</v>
      </c>
      <c r="AG39" s="163">
        <v>1</v>
      </c>
      <c r="AH39" s="163">
        <v>1</v>
      </c>
      <c r="AI39" s="164" t="s">
        <v>112</v>
      </c>
      <c r="AJ39" s="164" t="s">
        <v>112</v>
      </c>
      <c r="AK39" s="163">
        <v>1</v>
      </c>
      <c r="AL39" s="163">
        <v>1</v>
      </c>
      <c r="AM39" s="163">
        <v>1</v>
      </c>
      <c r="AN39" s="163">
        <v>1</v>
      </c>
      <c r="AO39" s="163">
        <v>1</v>
      </c>
      <c r="AP39" s="164" t="s">
        <v>112</v>
      </c>
      <c r="AQ39" s="164" t="s">
        <v>112</v>
      </c>
      <c r="AR39" s="163">
        <v>1</v>
      </c>
      <c r="AS39" s="163">
        <v>1</v>
      </c>
      <c r="AT39" s="163">
        <v>1</v>
      </c>
      <c r="AU39" s="163">
        <v>1</v>
      </c>
      <c r="AV39" s="164" t="s">
        <v>112</v>
      </c>
      <c r="AW39" s="164" t="s">
        <v>112</v>
      </c>
      <c r="AX39" s="163">
        <v>1</v>
      </c>
      <c r="AY39" s="140"/>
      <c r="AZ39" s="259">
        <f>SUM(U39:AY39)</f>
        <v>20</v>
      </c>
      <c r="BA39" s="292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</row>
    <row r="40" spans="1:66" s="2" customFormat="1" x14ac:dyDescent="0.25">
      <c r="A40" s="9" t="s">
        <v>7</v>
      </c>
      <c r="B40" s="9"/>
      <c r="C40" s="9"/>
      <c r="D40" s="9"/>
      <c r="E40" s="9"/>
      <c r="F40" s="9"/>
      <c r="G40" s="9"/>
      <c r="H40" s="9"/>
      <c r="I40" s="10">
        <f>IFERROR(I39/I32,0)</f>
        <v>0</v>
      </c>
      <c r="J40" s="10">
        <f>IFERROR(J39/J32,0)</f>
        <v>0</v>
      </c>
      <c r="K40" s="10">
        <f>IFERROR(K39/K32,0)</f>
        <v>0</v>
      </c>
      <c r="L40" s="10">
        <f>IFERROR(L39/K3,0)</f>
        <v>0</v>
      </c>
      <c r="T40" s="271" t="s">
        <v>363</v>
      </c>
      <c r="U40" s="164" t="s">
        <v>112</v>
      </c>
      <c r="V40" s="164" t="s">
        <v>112</v>
      </c>
      <c r="W40" s="163">
        <v>1</v>
      </c>
      <c r="X40" s="163">
        <v>1</v>
      </c>
      <c r="Y40" s="163">
        <v>1</v>
      </c>
      <c r="Z40" s="163">
        <v>1</v>
      </c>
      <c r="AA40" s="163">
        <v>1</v>
      </c>
      <c r="AB40" s="164" t="s">
        <v>112</v>
      </c>
      <c r="AC40" s="164" t="s">
        <v>112</v>
      </c>
      <c r="AD40" s="163">
        <v>1</v>
      </c>
      <c r="AE40" s="163">
        <v>1</v>
      </c>
      <c r="AF40" s="163">
        <v>1</v>
      </c>
      <c r="AG40" s="163">
        <v>1</v>
      </c>
      <c r="AH40" s="163">
        <v>1</v>
      </c>
      <c r="AI40" s="164" t="s">
        <v>112</v>
      </c>
      <c r="AJ40" s="164" t="s">
        <v>112</v>
      </c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41"/>
      <c r="AZ40" s="254">
        <f t="shared" ref="AZ40:AZ45" si="23">SUM(U40:AY40)</f>
        <v>10</v>
      </c>
      <c r="BA40" s="292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  <c r="BM40" s="181"/>
      <c r="BN40" s="181"/>
    </row>
    <row r="41" spans="1:66" s="2" customFormat="1" x14ac:dyDescent="0.25">
      <c r="T41" s="271" t="s">
        <v>364</v>
      </c>
      <c r="U41" s="163">
        <v>1</v>
      </c>
      <c r="V41" s="164" t="s">
        <v>112</v>
      </c>
      <c r="W41" s="164" t="s">
        <v>112</v>
      </c>
      <c r="X41" s="163">
        <v>1</v>
      </c>
      <c r="Y41" s="163">
        <v>1</v>
      </c>
      <c r="Z41" s="163">
        <v>1</v>
      </c>
      <c r="AA41" s="163">
        <v>1</v>
      </c>
      <c r="AB41" s="164" t="s">
        <v>112</v>
      </c>
      <c r="AC41" s="164" t="s">
        <v>112</v>
      </c>
      <c r="AD41" s="163" t="s">
        <v>243</v>
      </c>
      <c r="AE41" s="163" t="s">
        <v>243</v>
      </c>
      <c r="AF41" s="163" t="s">
        <v>243</v>
      </c>
      <c r="AG41" s="163" t="s">
        <v>243</v>
      </c>
      <c r="AH41" s="163" t="s">
        <v>243</v>
      </c>
      <c r="AI41" s="164" t="s">
        <v>112</v>
      </c>
      <c r="AJ41" s="164" t="s">
        <v>112</v>
      </c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41"/>
      <c r="AZ41" s="254">
        <f t="shared" si="23"/>
        <v>5</v>
      </c>
      <c r="BA41" s="292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</row>
    <row r="42" spans="1:66" s="2" customFormat="1" x14ac:dyDescent="0.25">
      <c r="T42" s="269" t="s">
        <v>62</v>
      </c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1"/>
      <c r="AZ42" s="254">
        <f t="shared" si="23"/>
        <v>0</v>
      </c>
      <c r="BA42" s="292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</row>
    <row r="43" spans="1:66" x14ac:dyDescent="0.25">
      <c r="A43" s="281" t="s">
        <v>315</v>
      </c>
      <c r="B43" s="281" t="s">
        <v>316</v>
      </c>
      <c r="C43" s="281" t="s">
        <v>317</v>
      </c>
      <c r="T43" s="269" t="s">
        <v>63</v>
      </c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1"/>
      <c r="AZ43" s="254">
        <f t="shared" si="23"/>
        <v>0</v>
      </c>
      <c r="BA43" s="292"/>
    </row>
    <row r="44" spans="1:66" x14ac:dyDescent="0.25">
      <c r="A44" s="198" t="s">
        <v>291</v>
      </c>
      <c r="B44" s="282"/>
      <c r="C44" s="280">
        <f>IFERROR(B44/$L$1,"")</f>
        <v>0</v>
      </c>
      <c r="T44" s="269" t="s">
        <v>64</v>
      </c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1"/>
      <c r="AZ44" s="254">
        <f t="shared" si="23"/>
        <v>0</v>
      </c>
      <c r="BA44" s="292"/>
    </row>
    <row r="45" spans="1:66" ht="15.75" thickBot="1" x14ac:dyDescent="0.3">
      <c r="A45" s="198" t="s">
        <v>292</v>
      </c>
      <c r="B45" s="282"/>
      <c r="C45" s="280">
        <f>IFERROR(B45/$L$1,"")</f>
        <v>0</v>
      </c>
      <c r="T45" s="269" t="s">
        <v>65</v>
      </c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1"/>
      <c r="AZ45" s="255">
        <f t="shared" si="23"/>
        <v>0</v>
      </c>
      <c r="BA45" s="292"/>
    </row>
    <row r="46" spans="1:66" ht="15.75" thickTop="1" x14ac:dyDescent="0.25">
      <c r="A46" s="198" t="s">
        <v>293</v>
      </c>
      <c r="B46" s="282"/>
      <c r="C46" s="280">
        <f>IFERROR(B46/$L$1,"")</f>
        <v>0</v>
      </c>
    </row>
    <row r="47" spans="1:66" ht="15.75" thickBot="1" x14ac:dyDescent="0.3">
      <c r="A47" s="198" t="s">
        <v>294</v>
      </c>
      <c r="B47" s="282"/>
      <c r="C47" s="280">
        <f>IFERROR(B47/$L$1,"")</f>
        <v>0</v>
      </c>
      <c r="R47" s="181"/>
      <c r="S47" s="181"/>
      <c r="T47" s="414" t="s">
        <v>313</v>
      </c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14"/>
      <c r="AH47" s="414"/>
      <c r="AI47" s="414"/>
      <c r="AJ47" s="414"/>
      <c r="AK47" s="414"/>
      <c r="AL47" s="414"/>
      <c r="AM47" s="414"/>
      <c r="AN47" s="414"/>
      <c r="AO47" s="414"/>
      <c r="AP47" s="414"/>
      <c r="AQ47" s="414"/>
      <c r="AR47" s="414"/>
      <c r="AS47" s="414"/>
      <c r="AT47" s="414"/>
      <c r="AU47" s="414"/>
      <c r="AV47" s="414"/>
      <c r="AW47" s="414"/>
      <c r="AX47" s="414"/>
      <c r="AY47" s="414"/>
      <c r="AZ47" s="201"/>
      <c r="BA47" s="332"/>
    </row>
    <row r="48" spans="1:66" ht="15.75" customHeight="1" thickTop="1" thickBot="1" x14ac:dyDescent="0.3">
      <c r="A48" s="198" t="s">
        <v>295</v>
      </c>
      <c r="B48" s="282"/>
      <c r="C48" s="280">
        <f>IFERROR(B48/$L$1,"")</f>
        <v>0</v>
      </c>
      <c r="R48" s="415" t="s">
        <v>312</v>
      </c>
      <c r="S48" s="416"/>
      <c r="T48" s="246" t="s">
        <v>314</v>
      </c>
      <c r="U48" s="159">
        <v>1</v>
      </c>
      <c r="V48" s="57">
        <v>2</v>
      </c>
      <c r="W48" s="16">
        <v>3</v>
      </c>
      <c r="X48" s="16">
        <v>4</v>
      </c>
      <c r="Y48" s="16">
        <v>5</v>
      </c>
      <c r="Z48" s="16">
        <v>6</v>
      </c>
      <c r="AA48" s="16">
        <v>7</v>
      </c>
      <c r="AB48" s="57">
        <v>8</v>
      </c>
      <c r="AC48" s="57">
        <v>9</v>
      </c>
      <c r="AD48" s="16">
        <v>10</v>
      </c>
      <c r="AE48" s="16">
        <v>11</v>
      </c>
      <c r="AF48" s="16">
        <v>12</v>
      </c>
      <c r="AG48" s="16">
        <v>13</v>
      </c>
      <c r="AH48" s="16">
        <v>14</v>
      </c>
      <c r="AI48" s="57">
        <v>15</v>
      </c>
      <c r="AJ48" s="57">
        <v>16</v>
      </c>
      <c r="AK48" s="16">
        <v>17</v>
      </c>
      <c r="AL48" s="16">
        <v>18</v>
      </c>
      <c r="AM48" s="16">
        <v>19</v>
      </c>
      <c r="AN48" s="16">
        <v>20</v>
      </c>
      <c r="AO48" s="16">
        <v>21</v>
      </c>
      <c r="AP48" s="57">
        <v>22</v>
      </c>
      <c r="AQ48" s="57">
        <v>23</v>
      </c>
      <c r="AR48" s="16">
        <v>24</v>
      </c>
      <c r="AS48" s="16">
        <v>25</v>
      </c>
      <c r="AT48" s="16">
        <v>26</v>
      </c>
      <c r="AU48" s="16">
        <v>27</v>
      </c>
      <c r="AV48" s="16">
        <v>28</v>
      </c>
      <c r="AW48" s="57">
        <v>29</v>
      </c>
      <c r="AX48" s="57">
        <v>30</v>
      </c>
      <c r="AY48" s="253"/>
      <c r="AZ48" s="256" t="s">
        <v>159</v>
      </c>
      <c r="BA48" s="292"/>
    </row>
    <row r="49" spans="18:53" x14ac:dyDescent="0.25">
      <c r="R49" s="412"/>
      <c r="S49" s="413"/>
      <c r="T49" s="270" t="s">
        <v>362</v>
      </c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252"/>
      <c r="AZ49" s="254">
        <f t="shared" ref="AZ49:AZ55" si="24">SUM(U49:AY49)</f>
        <v>0</v>
      </c>
      <c r="BA49" s="292"/>
    </row>
    <row r="50" spans="18:53" x14ac:dyDescent="0.25">
      <c r="R50" s="412"/>
      <c r="S50" s="413"/>
      <c r="T50" s="271" t="s">
        <v>363</v>
      </c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252"/>
      <c r="AZ50" s="254">
        <f t="shared" si="24"/>
        <v>0</v>
      </c>
      <c r="BA50" s="292"/>
    </row>
    <row r="51" spans="18:53" x14ac:dyDescent="0.25">
      <c r="R51" s="412"/>
      <c r="S51" s="413"/>
      <c r="T51" s="271" t="s">
        <v>364</v>
      </c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252"/>
      <c r="AZ51" s="254">
        <f t="shared" si="24"/>
        <v>0</v>
      </c>
      <c r="BA51" s="292"/>
    </row>
    <row r="52" spans="18:53" x14ac:dyDescent="0.25">
      <c r="R52" s="412"/>
      <c r="S52" s="413"/>
      <c r="T52" s="269" t="s">
        <v>62</v>
      </c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252"/>
      <c r="AZ52" s="254">
        <f t="shared" si="24"/>
        <v>0</v>
      </c>
      <c r="BA52" s="292"/>
    </row>
    <row r="53" spans="18:53" x14ac:dyDescent="0.25">
      <c r="R53" s="412"/>
      <c r="S53" s="413"/>
      <c r="T53" s="269" t="s">
        <v>63</v>
      </c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252"/>
      <c r="AZ53" s="254">
        <f t="shared" si="24"/>
        <v>0</v>
      </c>
      <c r="BA53" s="292"/>
    </row>
    <row r="54" spans="18:53" x14ac:dyDescent="0.25">
      <c r="R54" s="412"/>
      <c r="S54" s="413"/>
      <c r="T54" s="269" t="s">
        <v>64</v>
      </c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252"/>
      <c r="AZ54" s="254">
        <f t="shared" si="24"/>
        <v>0</v>
      </c>
      <c r="BA54" s="292"/>
    </row>
    <row r="55" spans="18:53" ht="15.75" thickBot="1" x14ac:dyDescent="0.3">
      <c r="R55" s="412"/>
      <c r="S55" s="413"/>
      <c r="T55" s="269" t="s">
        <v>65</v>
      </c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252"/>
      <c r="AZ55" s="255">
        <f t="shared" si="24"/>
        <v>0</v>
      </c>
      <c r="BA55" s="292"/>
    </row>
    <row r="56" spans="18:53" ht="15.75" thickTop="1" x14ac:dyDescent="0.25"/>
  </sheetData>
  <mergeCells count="38">
    <mergeCell ref="F6:G6"/>
    <mergeCell ref="S6:S7"/>
    <mergeCell ref="O6:O7"/>
    <mergeCell ref="P6:P7"/>
    <mergeCell ref="A33:E33"/>
    <mergeCell ref="J6:K6"/>
    <mergeCell ref="L6:L7"/>
    <mergeCell ref="M6:M7"/>
    <mergeCell ref="N6:N7"/>
    <mergeCell ref="A5:A7"/>
    <mergeCell ref="B5:L5"/>
    <mergeCell ref="M5:N5"/>
    <mergeCell ref="B6:B7"/>
    <mergeCell ref="C6:E6"/>
    <mergeCell ref="H6:H7"/>
    <mergeCell ref="I6:I7"/>
    <mergeCell ref="BK5:BK7"/>
    <mergeCell ref="BL5:BM6"/>
    <mergeCell ref="T47:AY47"/>
    <mergeCell ref="R48:S48"/>
    <mergeCell ref="R49:S49"/>
    <mergeCell ref="BC5:BC7"/>
    <mergeCell ref="BD5:BE6"/>
    <mergeCell ref="BF5:BG6"/>
    <mergeCell ref="BH5:BH7"/>
    <mergeCell ref="BI5:BJ6"/>
    <mergeCell ref="T5:T7"/>
    <mergeCell ref="O5:S5"/>
    <mergeCell ref="U5:AY5"/>
    <mergeCell ref="AZ5:BA5"/>
    <mergeCell ref="Q6:Q7"/>
    <mergeCell ref="R6:R7"/>
    <mergeCell ref="R55:S55"/>
    <mergeCell ref="R50:S50"/>
    <mergeCell ref="R51:S51"/>
    <mergeCell ref="R52:S52"/>
    <mergeCell ref="R53:S53"/>
    <mergeCell ref="R54:S54"/>
  </mergeCells>
  <conditionalFormatting sqref="U37:AY37">
    <cfRule type="cellIs" dxfId="67" priority="24" operator="equal">
      <formula>"!!!"</formula>
    </cfRule>
  </conditionalFormatting>
  <conditionalFormatting sqref="T8:T31">
    <cfRule type="cellIs" dxfId="66" priority="22" operator="lessThan">
      <formula>0</formula>
    </cfRule>
    <cfRule type="cellIs" dxfId="65" priority="23" operator="equal">
      <formula>0</formula>
    </cfRule>
  </conditionalFormatting>
  <conditionalFormatting sqref="U33:AY33">
    <cfRule type="cellIs" dxfId="58" priority="14" operator="lessThan">
      <formula>-0.1</formula>
    </cfRule>
    <cfRule type="cellIs" dxfId="57" priority="15" operator="equal">
      <formula>0</formula>
    </cfRule>
  </conditionalFormatting>
  <conditionalFormatting sqref="U39:AY45">
    <cfRule type="cellIs" dxfId="56" priority="13" operator="equal">
      <formula>1</formula>
    </cfRule>
  </conditionalFormatting>
  <conditionalFormatting sqref="BE8:BE31 BC8:BC31 BG8:BL31">
    <cfRule type="cellIs" dxfId="55" priority="12" operator="equal">
      <formula>0</formula>
    </cfRule>
  </conditionalFormatting>
  <conditionalFormatting sqref="BM8:BM31">
    <cfRule type="cellIs" dxfId="54" priority="11" operator="equal">
      <formula>0</formula>
    </cfRule>
  </conditionalFormatting>
  <conditionalFormatting sqref="T47">
    <cfRule type="cellIs" dxfId="53" priority="10" operator="equal">
      <formula>1</formula>
    </cfRule>
  </conditionalFormatting>
  <conditionalFormatting sqref="U49:AY55">
    <cfRule type="cellIs" dxfId="52" priority="9" operator="equal">
      <formula>1</formula>
    </cfRule>
  </conditionalFormatting>
  <conditionalFormatting sqref="AZ33:BA33">
    <cfRule type="cellIs" dxfId="51" priority="7" operator="lessThan">
      <formula>-0.1</formula>
    </cfRule>
    <cfRule type="cellIs" dxfId="50" priority="8" operator="equal">
      <formula>0</formula>
    </cfRule>
  </conditionalFormatting>
  <conditionalFormatting sqref="U6:AY6">
    <cfRule type="containsText" dxfId="49" priority="5" operator="containsText" text="пл">
      <formula>NOT(ISERROR(SEARCH("пл",U6)))</formula>
    </cfRule>
    <cfRule type="containsText" dxfId="48" priority="6" operator="containsText" text="ф">
      <formula>NOT(ISERROR(SEARCH("ф",U6)))</formula>
    </cfRule>
  </conditionalFormatting>
  <conditionalFormatting sqref="AZ6">
    <cfRule type="containsText" dxfId="47" priority="1" operator="containsText" text="пл">
      <formula>NOT(ISERROR(SEARCH("пл",AZ6)))</formula>
    </cfRule>
    <cfRule type="containsText" dxfId="46" priority="2" operator="containsText" text="ф">
      <formula>NOT(ISERROR(SEARCH("ф",AZ6)))</formula>
    </cfRule>
  </conditionalFormatting>
  <conditionalFormatting sqref="BA6">
    <cfRule type="containsText" dxfId="45" priority="3" operator="containsText" text="пл">
      <formula>NOT(ISERROR(SEARCH("пл",BA6)))</formula>
    </cfRule>
    <cfRule type="containsText" dxfId="44" priority="4" operator="containsText" text="ф">
      <formula>NOT(ISERROR(SEARCH("ф",BA6)))</formula>
    </cfRule>
  </conditionalFormatting>
  <dataValidations count="1">
    <dataValidation type="list" allowBlank="1" showInputMessage="1" showErrorMessage="1" sqref="BF3" xr:uid="{00000000-0002-0000-0300-000000000000}">
      <formula1>$CD$1:$CD$2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D6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BI26" sqref="BI26"/>
    </sheetView>
  </sheetViews>
  <sheetFormatPr defaultRowHeight="15" outlineLevelCol="1" x14ac:dyDescent="0.25"/>
  <cols>
    <col min="1" max="1" width="38" customWidth="1"/>
    <col min="2" max="2" width="8" style="330" customWidth="1"/>
    <col min="3" max="3" width="8.85546875" customWidth="1"/>
    <col min="4" max="6" width="8.42578125" customWidth="1"/>
    <col min="7" max="7" width="10.140625" style="330" customWidth="1"/>
    <col min="8" max="8" width="10.140625" customWidth="1"/>
    <col min="9" max="9" width="8.7109375" customWidth="1"/>
    <col min="10" max="10" width="9.28515625" customWidth="1"/>
    <col min="11" max="12" width="9.7109375" customWidth="1"/>
    <col min="13" max="13" width="12.28515625" customWidth="1"/>
    <col min="14" max="14" width="9.7109375" customWidth="1"/>
    <col min="15" max="15" width="11.7109375" customWidth="1"/>
    <col min="16" max="17" width="9.5703125" customWidth="1" outlineLevel="1"/>
    <col min="18" max="18" width="12" customWidth="1" outlineLevel="1"/>
    <col min="19" max="19" width="10.28515625" customWidth="1" outlineLevel="1"/>
    <col min="20" max="20" width="9.140625" customWidth="1" outlineLevel="1"/>
    <col min="21" max="21" width="15.42578125" customWidth="1"/>
    <col min="22" max="22" width="4.5703125" style="2" customWidth="1"/>
    <col min="23" max="23" width="4.7109375" style="2" customWidth="1"/>
    <col min="24" max="37" width="4.85546875" style="2" customWidth="1"/>
    <col min="38" max="38" width="4.42578125" style="2" customWidth="1"/>
    <col min="39" max="52" width="4.85546875" style="2" customWidth="1"/>
    <col min="53" max="53" width="5.85546875" customWidth="1"/>
    <col min="54" max="54" width="5.85546875" style="330" customWidth="1"/>
    <col min="55" max="55" width="10.5703125" customWidth="1"/>
    <col min="61" max="61" width="11.28515625" customWidth="1"/>
    <col min="62" max="63" width="9.7109375" customWidth="1"/>
    <col min="64" max="64" width="9.28515625" customWidth="1"/>
  </cols>
  <sheetData>
    <row r="1" spans="1:82" ht="19.5" thickBot="1" x14ac:dyDescent="0.35">
      <c r="A1" s="51" t="s">
        <v>33</v>
      </c>
      <c r="B1" s="287"/>
      <c r="K1" s="25" t="s">
        <v>4</v>
      </c>
      <c r="L1" s="42">
        <v>6</v>
      </c>
      <c r="M1" s="42">
        <v>4</v>
      </c>
      <c r="N1" s="58" t="s">
        <v>98</v>
      </c>
      <c r="BD1" s="202" t="s">
        <v>296</v>
      </c>
      <c r="BE1" s="203">
        <f ca="1">TODAY()</f>
        <v>43371</v>
      </c>
      <c r="BF1" s="181"/>
      <c r="BG1" s="181"/>
      <c r="BH1" s="181"/>
      <c r="BI1" s="181"/>
      <c r="BJ1" s="181"/>
      <c r="BK1" s="181"/>
      <c r="BL1" s="181"/>
      <c r="BM1" s="181"/>
      <c r="BN1" s="181"/>
      <c r="CD1" s="2" t="s">
        <v>414</v>
      </c>
    </row>
    <row r="2" spans="1:82" ht="19.5" thickBot="1" x14ac:dyDescent="0.35">
      <c r="A2" s="233">
        <v>43374</v>
      </c>
      <c r="B2" s="287"/>
      <c r="K2" s="25" t="s">
        <v>2</v>
      </c>
      <c r="L2" s="43">
        <v>11</v>
      </c>
      <c r="BD2" s="202" t="s">
        <v>297</v>
      </c>
      <c r="BE2" s="239">
        <f ca="1">BE1-A2</f>
        <v>-3</v>
      </c>
      <c r="BF2" s="181"/>
      <c r="BG2" s="392" t="s">
        <v>416</v>
      </c>
      <c r="BH2" s="181"/>
      <c r="BI2" s="181"/>
      <c r="BJ2" s="181"/>
      <c r="BK2" s="181"/>
      <c r="BL2" s="181"/>
      <c r="BM2" s="181"/>
      <c r="BN2" s="181"/>
      <c r="CD2" s="2" t="s">
        <v>415</v>
      </c>
    </row>
    <row r="3" spans="1:82" ht="16.5" thickBot="1" x14ac:dyDescent="0.3">
      <c r="A3" s="322" t="s">
        <v>361</v>
      </c>
      <c r="B3" s="322"/>
      <c r="K3" s="25" t="s">
        <v>61</v>
      </c>
      <c r="L3" s="42">
        <v>3.5</v>
      </c>
      <c r="BD3" s="202" t="s">
        <v>298</v>
      </c>
      <c r="BE3" s="232">
        <f ca="1">L4-BE2</f>
        <v>34</v>
      </c>
      <c r="BF3" s="181"/>
      <c r="BG3" s="393" t="s">
        <v>415</v>
      </c>
      <c r="BH3" s="181"/>
      <c r="BI3" s="181"/>
      <c r="BJ3" s="181"/>
      <c r="BK3" s="181"/>
      <c r="BL3" s="181"/>
      <c r="BM3" s="181"/>
      <c r="BN3" s="181"/>
    </row>
    <row r="4" spans="1:82" ht="19.5" thickBot="1" x14ac:dyDescent="0.35">
      <c r="A4" s="11"/>
      <c r="B4" s="11"/>
      <c r="K4" s="25" t="s">
        <v>78</v>
      </c>
      <c r="L4" s="43">
        <v>31</v>
      </c>
      <c r="V4" s="297" t="s">
        <v>356</v>
      </c>
      <c r="BD4" s="113" t="s">
        <v>354</v>
      </c>
      <c r="BE4" s="181"/>
      <c r="BF4" s="181"/>
      <c r="BG4" s="181"/>
      <c r="BH4" s="181"/>
      <c r="BI4" s="181"/>
      <c r="BJ4" s="181"/>
      <c r="BK4" s="181"/>
      <c r="BL4" s="181"/>
      <c r="BM4" s="181"/>
      <c r="BN4" s="181"/>
    </row>
    <row r="5" spans="1:82" ht="16.5" customHeight="1" thickTop="1" thickBot="1" x14ac:dyDescent="0.3">
      <c r="A5" s="497" t="s">
        <v>318</v>
      </c>
      <c r="B5" s="499" t="s">
        <v>409</v>
      </c>
      <c r="C5" s="500"/>
      <c r="D5" s="500"/>
      <c r="E5" s="500"/>
      <c r="F5" s="501"/>
      <c r="G5" s="426"/>
      <c r="H5" s="426"/>
      <c r="I5" s="426"/>
      <c r="J5" s="426"/>
      <c r="K5" s="426"/>
      <c r="L5" s="426"/>
      <c r="M5" s="485"/>
      <c r="N5" s="438" t="s">
        <v>75</v>
      </c>
      <c r="O5" s="439"/>
      <c r="P5" s="489" t="s">
        <v>84</v>
      </c>
      <c r="Q5" s="489"/>
      <c r="R5" s="489"/>
      <c r="S5" s="489"/>
      <c r="T5" s="490"/>
      <c r="U5" s="472" t="s">
        <v>80</v>
      </c>
      <c r="V5" s="495" t="s">
        <v>81</v>
      </c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0"/>
      <c r="AZ5" s="471"/>
      <c r="BA5" s="466" t="s">
        <v>359</v>
      </c>
      <c r="BB5" s="467"/>
      <c r="BD5" s="446" t="s">
        <v>309</v>
      </c>
      <c r="BE5" s="449" t="s">
        <v>344</v>
      </c>
      <c r="BF5" s="451"/>
      <c r="BG5" s="455" t="s">
        <v>346</v>
      </c>
      <c r="BH5" s="456"/>
      <c r="BI5" s="459" t="s">
        <v>302</v>
      </c>
      <c r="BJ5" s="460" t="s">
        <v>347</v>
      </c>
      <c r="BK5" s="462"/>
      <c r="BL5" s="468" t="str">
        <f ca="1">CONCATENATE("План пр-ва с ", BE2+1," по ", L4, "-е, шт")</f>
        <v>План пр-ва с -2 по 31-е, шт</v>
      </c>
      <c r="BM5" s="442" t="s">
        <v>348</v>
      </c>
      <c r="BN5" s="443"/>
    </row>
    <row r="6" spans="1:82" s="3" customFormat="1" ht="15.75" customHeight="1" thickTop="1" x14ac:dyDescent="0.25">
      <c r="A6" s="430"/>
      <c r="B6" s="484" t="s">
        <v>342</v>
      </c>
      <c r="C6" s="496" t="s">
        <v>411</v>
      </c>
      <c r="D6" s="427" t="s">
        <v>410</v>
      </c>
      <c r="E6" s="428"/>
      <c r="F6" s="428"/>
      <c r="G6" s="505" t="s">
        <v>408</v>
      </c>
      <c r="H6" s="441"/>
      <c r="I6" s="434" t="s">
        <v>412</v>
      </c>
      <c r="J6" s="433" t="s">
        <v>413</v>
      </c>
      <c r="K6" s="496" t="s">
        <v>70</v>
      </c>
      <c r="L6" s="496"/>
      <c r="M6" s="427" t="s">
        <v>73</v>
      </c>
      <c r="N6" s="436" t="s">
        <v>58</v>
      </c>
      <c r="O6" s="437" t="s">
        <v>74</v>
      </c>
      <c r="P6" s="421" t="s">
        <v>90</v>
      </c>
      <c r="Q6" s="421" t="s">
        <v>96</v>
      </c>
      <c r="R6" s="440" t="s">
        <v>94</v>
      </c>
      <c r="S6" s="440" t="s">
        <v>95</v>
      </c>
      <c r="T6" s="420" t="s">
        <v>85</v>
      </c>
      <c r="U6" s="473"/>
      <c r="V6" s="334" t="str">
        <f t="shared" ref="V6:AZ6" ca="1" si="0">IF(V7&gt;$BE$2, "пл", "ф")</f>
        <v>пл</v>
      </c>
      <c r="W6" s="335" t="str">
        <f t="shared" ca="1" si="0"/>
        <v>пл</v>
      </c>
      <c r="X6" s="335" t="str">
        <f t="shared" ca="1" si="0"/>
        <v>пл</v>
      </c>
      <c r="Y6" s="335" t="str">
        <f t="shared" ca="1" si="0"/>
        <v>пл</v>
      </c>
      <c r="Z6" s="335" t="str">
        <f t="shared" ca="1" si="0"/>
        <v>пл</v>
      </c>
      <c r="AA6" s="335" t="str">
        <f t="shared" ca="1" si="0"/>
        <v>пл</v>
      </c>
      <c r="AB6" s="335" t="str">
        <f t="shared" ca="1" si="0"/>
        <v>пл</v>
      </c>
      <c r="AC6" s="335" t="str">
        <f t="shared" ca="1" si="0"/>
        <v>пл</v>
      </c>
      <c r="AD6" s="335" t="str">
        <f t="shared" ca="1" si="0"/>
        <v>пл</v>
      </c>
      <c r="AE6" s="335" t="str">
        <f t="shared" ca="1" si="0"/>
        <v>пл</v>
      </c>
      <c r="AF6" s="335" t="str">
        <f t="shared" ca="1" si="0"/>
        <v>пл</v>
      </c>
      <c r="AG6" s="335" t="str">
        <f t="shared" ca="1" si="0"/>
        <v>пл</v>
      </c>
      <c r="AH6" s="335" t="str">
        <f t="shared" ca="1" si="0"/>
        <v>пл</v>
      </c>
      <c r="AI6" s="335" t="str">
        <f t="shared" ca="1" si="0"/>
        <v>пл</v>
      </c>
      <c r="AJ6" s="335" t="str">
        <f t="shared" ca="1" si="0"/>
        <v>пл</v>
      </c>
      <c r="AK6" s="335" t="str">
        <f t="shared" ca="1" si="0"/>
        <v>пл</v>
      </c>
      <c r="AL6" s="335" t="str">
        <f t="shared" ca="1" si="0"/>
        <v>пл</v>
      </c>
      <c r="AM6" s="335" t="str">
        <f t="shared" ca="1" si="0"/>
        <v>пл</v>
      </c>
      <c r="AN6" s="335" t="str">
        <f t="shared" ca="1" si="0"/>
        <v>пл</v>
      </c>
      <c r="AO6" s="335" t="str">
        <f t="shared" ca="1" si="0"/>
        <v>пл</v>
      </c>
      <c r="AP6" s="335" t="str">
        <f t="shared" ca="1" si="0"/>
        <v>пл</v>
      </c>
      <c r="AQ6" s="335" t="str">
        <f t="shared" ca="1" si="0"/>
        <v>пл</v>
      </c>
      <c r="AR6" s="335" t="str">
        <f t="shared" ca="1" si="0"/>
        <v>пл</v>
      </c>
      <c r="AS6" s="335" t="str">
        <f t="shared" ca="1" si="0"/>
        <v>пл</v>
      </c>
      <c r="AT6" s="335" t="str">
        <f t="shared" ca="1" si="0"/>
        <v>пл</v>
      </c>
      <c r="AU6" s="335" t="str">
        <f t="shared" ca="1" si="0"/>
        <v>пл</v>
      </c>
      <c r="AV6" s="335" t="str">
        <f t="shared" ca="1" si="0"/>
        <v>пл</v>
      </c>
      <c r="AW6" s="335" t="str">
        <f t="shared" ca="1" si="0"/>
        <v>пл</v>
      </c>
      <c r="AX6" s="335" t="str">
        <f t="shared" ca="1" si="0"/>
        <v>пл</v>
      </c>
      <c r="AY6" s="335" t="str">
        <f t="shared" ca="1" si="0"/>
        <v>пл</v>
      </c>
      <c r="AZ6" s="336" t="str">
        <f t="shared" ca="1" si="0"/>
        <v>пл</v>
      </c>
      <c r="BA6" s="307" t="s">
        <v>351</v>
      </c>
      <c r="BB6" s="308" t="s">
        <v>352</v>
      </c>
      <c r="BD6" s="447"/>
      <c r="BE6" s="452"/>
      <c r="BF6" s="454"/>
      <c r="BG6" s="457"/>
      <c r="BH6" s="458"/>
      <c r="BI6" s="459"/>
      <c r="BJ6" s="463"/>
      <c r="BK6" s="465"/>
      <c r="BL6" s="468"/>
      <c r="BM6" s="444"/>
      <c r="BN6" s="445"/>
    </row>
    <row r="7" spans="1:82" s="3" customFormat="1" ht="40.5" customHeight="1" x14ac:dyDescent="0.25">
      <c r="A7" s="431"/>
      <c r="B7" s="484"/>
      <c r="C7" s="496"/>
      <c r="D7" s="103" t="s">
        <v>86</v>
      </c>
      <c r="E7" s="103" t="s">
        <v>87</v>
      </c>
      <c r="F7" s="103" t="s">
        <v>88</v>
      </c>
      <c r="G7" s="506" t="s">
        <v>417</v>
      </c>
      <c r="H7" s="87" t="s">
        <v>235</v>
      </c>
      <c r="I7" s="435"/>
      <c r="J7" s="433"/>
      <c r="K7" s="81" t="s">
        <v>0</v>
      </c>
      <c r="L7" s="80" t="s">
        <v>1</v>
      </c>
      <c r="M7" s="427"/>
      <c r="N7" s="436"/>
      <c r="O7" s="437"/>
      <c r="P7" s="421"/>
      <c r="Q7" s="421"/>
      <c r="R7" s="440"/>
      <c r="S7" s="440"/>
      <c r="T7" s="420"/>
      <c r="U7" s="473"/>
      <c r="V7" s="159">
        <v>1</v>
      </c>
      <c r="W7" s="57">
        <v>2</v>
      </c>
      <c r="X7" s="16">
        <v>3</v>
      </c>
      <c r="Y7" s="16">
        <v>4</v>
      </c>
      <c r="Z7" s="16">
        <v>5</v>
      </c>
      <c r="AA7" s="182">
        <v>6</v>
      </c>
      <c r="AB7" s="16">
        <v>7</v>
      </c>
      <c r="AC7" s="57">
        <v>8</v>
      </c>
      <c r="AD7" s="182">
        <v>9</v>
      </c>
      <c r="AE7" s="16">
        <v>10</v>
      </c>
      <c r="AF7" s="16">
        <v>11</v>
      </c>
      <c r="AG7" s="16">
        <v>12</v>
      </c>
      <c r="AH7" s="182">
        <v>13</v>
      </c>
      <c r="AI7" s="16">
        <v>14</v>
      </c>
      <c r="AJ7" s="57">
        <v>15</v>
      </c>
      <c r="AK7" s="182">
        <v>16</v>
      </c>
      <c r="AL7" s="16">
        <v>17</v>
      </c>
      <c r="AM7" s="16">
        <v>18</v>
      </c>
      <c r="AN7" s="16">
        <v>19</v>
      </c>
      <c r="AO7" s="182">
        <v>20</v>
      </c>
      <c r="AP7" s="16">
        <v>21</v>
      </c>
      <c r="AQ7" s="57">
        <v>22</v>
      </c>
      <c r="AR7" s="182">
        <v>23</v>
      </c>
      <c r="AS7" s="16">
        <v>24</v>
      </c>
      <c r="AT7" s="16">
        <v>25</v>
      </c>
      <c r="AU7" s="16">
        <v>26</v>
      </c>
      <c r="AV7" s="182">
        <v>27</v>
      </c>
      <c r="AW7" s="16">
        <v>28</v>
      </c>
      <c r="AX7" s="57">
        <v>29</v>
      </c>
      <c r="AY7" s="182">
        <v>30</v>
      </c>
      <c r="AZ7" s="16">
        <v>31</v>
      </c>
      <c r="BA7" s="309" t="s">
        <v>357</v>
      </c>
      <c r="BB7" s="310" t="s">
        <v>358</v>
      </c>
      <c r="BD7" s="448"/>
      <c r="BE7" s="205" t="s">
        <v>304</v>
      </c>
      <c r="BF7" s="207" t="s">
        <v>308</v>
      </c>
      <c r="BG7" s="208" t="s">
        <v>304</v>
      </c>
      <c r="BH7" s="209" t="s">
        <v>307</v>
      </c>
      <c r="BI7" s="459"/>
      <c r="BJ7" s="210" t="s">
        <v>304</v>
      </c>
      <c r="BK7" s="212" t="s">
        <v>308</v>
      </c>
      <c r="BL7" s="468"/>
      <c r="BM7" s="407" t="s">
        <v>349</v>
      </c>
      <c r="BN7" s="405" t="s">
        <v>418</v>
      </c>
    </row>
    <row r="8" spans="1:82" s="6" customFormat="1" x14ac:dyDescent="0.25">
      <c r="A8" s="234" t="s">
        <v>39</v>
      </c>
      <c r="B8" s="357">
        <v>1</v>
      </c>
      <c r="C8" s="386">
        <v>0.03</v>
      </c>
      <c r="D8" s="156"/>
      <c r="E8" s="93"/>
      <c r="F8" s="93"/>
      <c r="G8" s="394"/>
      <c r="H8" s="133"/>
      <c r="I8" s="88">
        <f>IF($BG$3="да",BA8+BB8,IF((SUM(D8:F8)-G8+H8)&lt;0,0,SUM(D8:F8)-G8+H8))</f>
        <v>0</v>
      </c>
      <c r="J8" s="83">
        <f>C8*I8*B8</f>
        <v>0</v>
      </c>
      <c r="K8" s="34">
        <f>IFERROR(J8/$L$3,0)</f>
        <v>0</v>
      </c>
      <c r="L8" s="5">
        <f t="shared" ref="L8:L34" si="1">IFERROR(ROUND(K8/$L$2,0),0)</f>
        <v>0</v>
      </c>
      <c r="M8" s="61"/>
      <c r="N8" s="70"/>
      <c r="O8" s="71" t="str">
        <f>IFERROR(N8/J8,"")</f>
        <v/>
      </c>
      <c r="P8" s="68">
        <f>Q8*C8</f>
        <v>2.4545454545454541</v>
      </c>
      <c r="Q8" s="68">
        <f>IF(R8=0,0.0001,IFERROR(R8/$L$2,0.0001))</f>
        <v>81.818181818181813</v>
      </c>
      <c r="R8" s="66">
        <v>900</v>
      </c>
      <c r="S8" s="66">
        <f>R8*$M$1</f>
        <v>3600</v>
      </c>
      <c r="T8" s="67">
        <f>IFERROR(U8/S8,0)</f>
        <v>0</v>
      </c>
      <c r="U8" s="26">
        <f>IF($BG$3="да", BM8, I8-SUM(V8:AZ8))</f>
        <v>0</v>
      </c>
      <c r="V8" s="44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311">
        <f ca="1">SUMIFS(V8:AZ8,$V$6:$AZ$6,"ф")</f>
        <v>0</v>
      </c>
      <c r="BB8" s="312">
        <f ca="1">SUMIFS(V8:AZ8,$V$6:$AZ$6,"пл")</f>
        <v>0</v>
      </c>
      <c r="BD8" s="61">
        <f>IFERROR(SUM(D8:F8)/$L$4,0)</f>
        <v>0</v>
      </c>
      <c r="BE8" s="214"/>
      <c r="BF8" s="216">
        <f ca="1">IFERROR(BE8/$BE$2,0)</f>
        <v>0</v>
      </c>
      <c r="BG8" s="217"/>
      <c r="BH8" s="215">
        <f ca="1">IFERROR((BG8/B8)/BF8,0)</f>
        <v>0</v>
      </c>
      <c r="BI8" s="61">
        <f t="shared" ref="BI8:BI19" si="2">H8</f>
        <v>0</v>
      </c>
      <c r="BJ8" s="218">
        <f ca="1">BF8*B8*$BE$3-BG8+BI8</f>
        <v>0</v>
      </c>
      <c r="BK8" s="216">
        <f ca="1">IFERROR(BJ8/$BE$3,0)</f>
        <v>0</v>
      </c>
      <c r="BL8" s="219">
        <f ca="1">SUMIFS(V8:AZ8,$V$6:$AZ$6,"пл")</f>
        <v>0</v>
      </c>
      <c r="BM8" s="220">
        <f ca="1">IF(BJ8&lt;0,BL8*-1, BJ8-BL8)</f>
        <v>0</v>
      </c>
      <c r="BN8" s="221">
        <f ca="1">IFERROR(ROUND(BF8*($BE$3+$BE$2)-SUM(D8:F8), 1),0)</f>
        <v>0</v>
      </c>
    </row>
    <row r="9" spans="1:82" s="6" customFormat="1" x14ac:dyDescent="0.25">
      <c r="A9" s="234" t="s">
        <v>37</v>
      </c>
      <c r="B9" s="357">
        <v>1</v>
      </c>
      <c r="C9" s="386">
        <v>0.03</v>
      </c>
      <c r="D9" s="156"/>
      <c r="E9" s="93"/>
      <c r="F9" s="93"/>
      <c r="G9" s="394"/>
      <c r="H9" s="133"/>
      <c r="I9" s="88">
        <f t="shared" ref="I9:I34" si="3">IF($BG$3="да",BA9+BB9,IF((SUM(D9:F9)-G9+H9)&lt;0,0,SUM(D9:F9)-G9+H9))</f>
        <v>0</v>
      </c>
      <c r="J9" s="83">
        <f t="shared" ref="J9:J34" si="4">C9*I9*B9</f>
        <v>0</v>
      </c>
      <c r="K9" s="34">
        <f>IFERROR(J9/$L$3,0)</f>
        <v>0</v>
      </c>
      <c r="L9" s="5">
        <f t="shared" si="1"/>
        <v>0</v>
      </c>
      <c r="M9" s="61"/>
      <c r="N9" s="70"/>
      <c r="O9" s="71" t="str">
        <f>IFERROR(N9/J9,"")</f>
        <v/>
      </c>
      <c r="P9" s="68">
        <f>Q9*C9</f>
        <v>2.4545454545454541</v>
      </c>
      <c r="Q9" s="68">
        <f t="shared" ref="Q9:Q34" si="5">IF(R9=0,0.0001,IFERROR(R9/$L$2,0.0001))</f>
        <v>81.818181818181813</v>
      </c>
      <c r="R9" s="66">
        <v>900</v>
      </c>
      <c r="S9" s="66">
        <f t="shared" ref="S9:S34" si="6">R9*$M$1</f>
        <v>3600</v>
      </c>
      <c r="T9" s="67">
        <f t="shared" ref="T9:T34" si="7">IFERROR(U9/S9,0)</f>
        <v>0</v>
      </c>
      <c r="U9" s="26">
        <f t="shared" ref="U9:U34" si="8">IF($BG$3="да", BM9, I9-SUM(V9:AZ9))</f>
        <v>0</v>
      </c>
      <c r="V9" s="44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311">
        <f t="shared" ref="BA9:BA34" ca="1" si="9">SUMIFS(V9:AZ9,$V$6:$AZ$6,"ф")</f>
        <v>0</v>
      </c>
      <c r="BB9" s="312">
        <f t="shared" ref="BB9:BB34" ca="1" si="10">SUMIFS(V9:AZ9,$V$6:$AZ$6,"пл")</f>
        <v>0</v>
      </c>
      <c r="BD9" s="61">
        <f>IFERROR(SUM(D9:F9)/$L$4,0)</f>
        <v>0</v>
      </c>
      <c r="BE9" s="214"/>
      <c r="BF9" s="305">
        <f t="shared" ref="BF9:BF34" ca="1" si="11">IFERROR(BE9/$BE$2,0)</f>
        <v>0</v>
      </c>
      <c r="BG9" s="217"/>
      <c r="BH9" s="215">
        <f ca="1">IFERROR((BG9/B9)/BF9,0)</f>
        <v>0</v>
      </c>
      <c r="BI9" s="61">
        <f t="shared" si="2"/>
        <v>0</v>
      </c>
      <c r="BJ9" s="218">
        <f ca="1">BF9*B9*$BE$3-BG9+BI9</f>
        <v>0</v>
      </c>
      <c r="BK9" s="216">
        <f t="shared" ref="BK9:BK34" ca="1" si="12">IFERROR(BJ9/$BE$3,0)</f>
        <v>0</v>
      </c>
      <c r="BL9" s="219">
        <f t="shared" ref="BL9:BL30" ca="1" si="13">SUMIFS(V9:AZ9,$V$6:$AZ$6,"пл")</f>
        <v>0</v>
      </c>
      <c r="BM9" s="220">
        <f t="shared" ref="BM9:BM34" ca="1" si="14">IF(BJ9&lt;0,BL9*-1, BJ9-BL9)</f>
        <v>0</v>
      </c>
      <c r="BN9" s="221">
        <f t="shared" ref="BN9:BN34" ca="1" si="15">IFERROR(ROUND(BF9*($BE$3+$BE$2)-SUM(D9:F9), 1),0)</f>
        <v>0</v>
      </c>
    </row>
    <row r="10" spans="1:82" s="6" customFormat="1" x14ac:dyDescent="0.25">
      <c r="A10" s="234" t="s">
        <v>36</v>
      </c>
      <c r="B10" s="357">
        <v>1</v>
      </c>
      <c r="C10" s="386">
        <v>0.03</v>
      </c>
      <c r="D10" s="156"/>
      <c r="E10" s="93"/>
      <c r="F10" s="93"/>
      <c r="G10" s="394"/>
      <c r="H10" s="133"/>
      <c r="I10" s="88">
        <f t="shared" si="3"/>
        <v>0</v>
      </c>
      <c r="J10" s="83">
        <f t="shared" si="4"/>
        <v>0</v>
      </c>
      <c r="K10" s="34">
        <f t="shared" ref="K10:K35" si="16">IFERROR(J10/$L$3,0)</f>
        <v>0</v>
      </c>
      <c r="L10" s="5">
        <f t="shared" si="1"/>
        <v>0</v>
      </c>
      <c r="M10" s="61"/>
      <c r="N10" s="70"/>
      <c r="O10" s="71" t="str">
        <f t="shared" ref="O10:O35" si="17">IFERROR(N10/J10,"")</f>
        <v/>
      </c>
      <c r="P10" s="68">
        <f>Q10*C10</f>
        <v>2.4545454545454541</v>
      </c>
      <c r="Q10" s="68">
        <f t="shared" si="5"/>
        <v>81.818181818181813</v>
      </c>
      <c r="R10" s="66">
        <v>900</v>
      </c>
      <c r="S10" s="66">
        <f t="shared" si="6"/>
        <v>3600</v>
      </c>
      <c r="T10" s="67">
        <f t="shared" si="7"/>
        <v>0</v>
      </c>
      <c r="U10" s="26">
        <f>IF($BG$3="да", BM10, I10-SUM(V10:AZ10))</f>
        <v>0</v>
      </c>
      <c r="V10" s="44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311">
        <f t="shared" ca="1" si="9"/>
        <v>0</v>
      </c>
      <c r="BB10" s="312">
        <f t="shared" ca="1" si="10"/>
        <v>0</v>
      </c>
      <c r="BD10" s="61">
        <f>IFERROR(SUM(D10:F10)/$L$4,0)</f>
        <v>0</v>
      </c>
      <c r="BE10" s="214"/>
      <c r="BF10" s="305">
        <f t="shared" ca="1" si="11"/>
        <v>0</v>
      </c>
      <c r="BG10" s="217"/>
      <c r="BH10" s="215">
        <f ca="1">IFERROR((BG10/B10)/BF10,0)</f>
        <v>0</v>
      </c>
      <c r="BI10" s="61">
        <f t="shared" si="2"/>
        <v>0</v>
      </c>
      <c r="BJ10" s="218">
        <f ca="1">IF(BF10*B10*$BE$3-BG10+BI10&lt;0,0,BF10*B10*$BE$3-BG10+BI10)</f>
        <v>0</v>
      </c>
      <c r="BK10" s="216">
        <f ca="1">IFERROR(BJ10/$BE$3,0)</f>
        <v>0</v>
      </c>
      <c r="BL10" s="219">
        <f t="shared" ca="1" si="13"/>
        <v>0</v>
      </c>
      <c r="BM10" s="220">
        <f t="shared" ca="1" si="14"/>
        <v>0</v>
      </c>
      <c r="BN10" s="221">
        <f t="shared" ca="1" si="15"/>
        <v>0</v>
      </c>
    </row>
    <row r="11" spans="1:82" s="6" customFormat="1" x14ac:dyDescent="0.25">
      <c r="A11" s="234" t="s">
        <v>35</v>
      </c>
      <c r="B11" s="357">
        <v>1</v>
      </c>
      <c r="C11" s="386">
        <v>0.03</v>
      </c>
      <c r="D11" s="156"/>
      <c r="E11" s="93"/>
      <c r="F11" s="93"/>
      <c r="G11" s="394"/>
      <c r="H11" s="133"/>
      <c r="I11" s="88">
        <f t="shared" si="3"/>
        <v>0</v>
      </c>
      <c r="J11" s="83">
        <f t="shared" si="4"/>
        <v>0</v>
      </c>
      <c r="K11" s="34">
        <f t="shared" si="16"/>
        <v>0</v>
      </c>
      <c r="L11" s="5">
        <f t="shared" si="1"/>
        <v>0</v>
      </c>
      <c r="M11" s="61"/>
      <c r="N11" s="70"/>
      <c r="O11" s="71" t="str">
        <f t="shared" si="17"/>
        <v/>
      </c>
      <c r="P11" s="68">
        <f>Q11*C11</f>
        <v>2.4545454545454541</v>
      </c>
      <c r="Q11" s="68">
        <f t="shared" si="5"/>
        <v>81.818181818181813</v>
      </c>
      <c r="R11" s="66">
        <v>900</v>
      </c>
      <c r="S11" s="66">
        <f t="shared" si="6"/>
        <v>3600</v>
      </c>
      <c r="T11" s="67">
        <f t="shared" si="7"/>
        <v>0</v>
      </c>
      <c r="U11" s="26">
        <f t="shared" si="8"/>
        <v>0</v>
      </c>
      <c r="V11" s="44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311">
        <f t="shared" ca="1" si="9"/>
        <v>0</v>
      </c>
      <c r="BB11" s="312">
        <f t="shared" ca="1" si="10"/>
        <v>0</v>
      </c>
      <c r="BD11" s="61">
        <f>IFERROR(SUM(D11:F11)/$L$4,0)</f>
        <v>0</v>
      </c>
      <c r="BE11" s="214"/>
      <c r="BF11" s="305">
        <f t="shared" ca="1" si="11"/>
        <v>0</v>
      </c>
      <c r="BG11" s="217"/>
      <c r="BH11" s="215">
        <f ca="1">IFERROR((BG11/B11)/BF11,0)</f>
        <v>0</v>
      </c>
      <c r="BI11" s="61">
        <f t="shared" si="2"/>
        <v>0</v>
      </c>
      <c r="BJ11" s="218">
        <f t="shared" ref="BJ11:BJ34" ca="1" si="18">IF(BF11*B11*$BE$3-BG11+BI11&lt;0,0,BF11*B11*$BE$3-BG11+BI11)</f>
        <v>0</v>
      </c>
      <c r="BK11" s="216">
        <f t="shared" ca="1" si="12"/>
        <v>0</v>
      </c>
      <c r="BL11" s="219">
        <f ca="1">SUMIFS(V11:AZ11,$V$6:$AZ$6,"пл")</f>
        <v>0</v>
      </c>
      <c r="BM11" s="220">
        <f t="shared" ca="1" si="14"/>
        <v>0</v>
      </c>
      <c r="BN11" s="221">
        <f t="shared" ca="1" si="15"/>
        <v>0</v>
      </c>
    </row>
    <row r="12" spans="1:82" s="6" customFormat="1" x14ac:dyDescent="0.25">
      <c r="A12" s="234" t="s">
        <v>34</v>
      </c>
      <c r="B12" s="357">
        <v>1</v>
      </c>
      <c r="C12" s="386">
        <v>0.03</v>
      </c>
      <c r="D12" s="156"/>
      <c r="E12" s="93"/>
      <c r="F12" s="93"/>
      <c r="G12" s="394"/>
      <c r="H12" s="133"/>
      <c r="I12" s="88">
        <f t="shared" si="3"/>
        <v>0</v>
      </c>
      <c r="J12" s="83">
        <f t="shared" si="4"/>
        <v>0</v>
      </c>
      <c r="K12" s="34">
        <f t="shared" si="16"/>
        <v>0</v>
      </c>
      <c r="L12" s="5">
        <f t="shared" si="1"/>
        <v>0</v>
      </c>
      <c r="M12" s="61"/>
      <c r="N12" s="70"/>
      <c r="O12" s="71" t="str">
        <f t="shared" si="17"/>
        <v/>
      </c>
      <c r="P12" s="68">
        <f>Q12*C12</f>
        <v>2.4545454545454541</v>
      </c>
      <c r="Q12" s="68">
        <f t="shared" si="5"/>
        <v>81.818181818181813</v>
      </c>
      <c r="R12" s="66">
        <v>900</v>
      </c>
      <c r="S12" s="66">
        <f t="shared" si="6"/>
        <v>3600</v>
      </c>
      <c r="T12" s="67">
        <f t="shared" si="7"/>
        <v>0</v>
      </c>
      <c r="U12" s="26">
        <f t="shared" si="8"/>
        <v>0</v>
      </c>
      <c r="V12" s="44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311">
        <f t="shared" ca="1" si="9"/>
        <v>0</v>
      </c>
      <c r="BB12" s="312">
        <f t="shared" ca="1" si="10"/>
        <v>0</v>
      </c>
      <c r="BD12" s="61">
        <f>IFERROR(SUM(D12:F12)/$L$4,0)</f>
        <v>0</v>
      </c>
      <c r="BE12" s="214"/>
      <c r="BF12" s="305">
        <f t="shared" ca="1" si="11"/>
        <v>0</v>
      </c>
      <c r="BG12" s="217"/>
      <c r="BH12" s="215">
        <f ca="1">IFERROR((BG12/B12)/BF12,0)</f>
        <v>0</v>
      </c>
      <c r="BI12" s="61">
        <f t="shared" si="2"/>
        <v>0</v>
      </c>
      <c r="BJ12" s="218">
        <f t="shared" ca="1" si="18"/>
        <v>0</v>
      </c>
      <c r="BK12" s="216">
        <f t="shared" ca="1" si="12"/>
        <v>0</v>
      </c>
      <c r="BL12" s="219">
        <f t="shared" ca="1" si="13"/>
        <v>0</v>
      </c>
      <c r="BM12" s="220">
        <f t="shared" ca="1" si="14"/>
        <v>0</v>
      </c>
      <c r="BN12" s="221">
        <f t="shared" ca="1" si="15"/>
        <v>0</v>
      </c>
    </row>
    <row r="13" spans="1:82" s="6" customFormat="1" x14ac:dyDescent="0.25">
      <c r="A13" s="234" t="s">
        <v>38</v>
      </c>
      <c r="B13" s="357">
        <v>1</v>
      </c>
      <c r="C13" s="386">
        <v>0.03</v>
      </c>
      <c r="D13" s="156"/>
      <c r="E13" s="93"/>
      <c r="F13" s="93"/>
      <c r="G13" s="394"/>
      <c r="H13" s="133"/>
      <c r="I13" s="88">
        <f t="shared" si="3"/>
        <v>0</v>
      </c>
      <c r="J13" s="83">
        <f t="shared" si="4"/>
        <v>0</v>
      </c>
      <c r="K13" s="34">
        <f t="shared" si="16"/>
        <v>0</v>
      </c>
      <c r="L13" s="5">
        <f t="shared" si="1"/>
        <v>0</v>
      </c>
      <c r="M13" s="61"/>
      <c r="N13" s="70"/>
      <c r="O13" s="71" t="str">
        <f t="shared" si="17"/>
        <v/>
      </c>
      <c r="P13" s="68">
        <f>Q13*C13</f>
        <v>2.4545454545454541</v>
      </c>
      <c r="Q13" s="68">
        <f t="shared" si="5"/>
        <v>81.818181818181813</v>
      </c>
      <c r="R13" s="66">
        <v>900</v>
      </c>
      <c r="S13" s="66">
        <f t="shared" si="6"/>
        <v>3600</v>
      </c>
      <c r="T13" s="67">
        <f t="shared" si="7"/>
        <v>0</v>
      </c>
      <c r="U13" s="26">
        <f t="shared" si="8"/>
        <v>0</v>
      </c>
      <c r="V13" s="44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311">
        <f t="shared" ca="1" si="9"/>
        <v>0</v>
      </c>
      <c r="BB13" s="312">
        <f t="shared" ca="1" si="10"/>
        <v>0</v>
      </c>
      <c r="BD13" s="61">
        <f>IFERROR(SUM(D13:F13)/$L$4,0)</f>
        <v>0</v>
      </c>
      <c r="BE13" s="214"/>
      <c r="BF13" s="305">
        <f ca="1">IFERROR(BE13/$BE$2,0)</f>
        <v>0</v>
      </c>
      <c r="BG13" s="217"/>
      <c r="BH13" s="215">
        <f ca="1">IFERROR((BG13/B13)/BF13,0)</f>
        <v>0</v>
      </c>
      <c r="BI13" s="61">
        <f t="shared" si="2"/>
        <v>0</v>
      </c>
      <c r="BJ13" s="218">
        <f t="shared" ca="1" si="18"/>
        <v>0</v>
      </c>
      <c r="BK13" s="216">
        <f t="shared" ca="1" si="12"/>
        <v>0</v>
      </c>
      <c r="BL13" s="219">
        <f ca="1">SUMIFS(V13:AZ13,$V$6:$AZ$6,"пл")</f>
        <v>0</v>
      </c>
      <c r="BM13" s="220">
        <f t="shared" ca="1" si="14"/>
        <v>0</v>
      </c>
      <c r="BN13" s="221">
        <f t="shared" ca="1" si="15"/>
        <v>0</v>
      </c>
    </row>
    <row r="14" spans="1:82" s="6" customFormat="1" x14ac:dyDescent="0.25">
      <c r="A14" s="234" t="s">
        <v>257</v>
      </c>
      <c r="B14" s="357">
        <v>1</v>
      </c>
      <c r="C14" s="386">
        <v>1</v>
      </c>
      <c r="D14" s="156"/>
      <c r="E14" s="93"/>
      <c r="F14" s="93"/>
      <c r="G14" s="394"/>
      <c r="H14" s="133"/>
      <c r="I14" s="88">
        <f t="shared" si="3"/>
        <v>0</v>
      </c>
      <c r="J14" s="83">
        <f t="shared" si="4"/>
        <v>0</v>
      </c>
      <c r="K14" s="34">
        <f t="shared" si="16"/>
        <v>0</v>
      </c>
      <c r="L14" s="5">
        <f t="shared" si="1"/>
        <v>0</v>
      </c>
      <c r="M14" s="61"/>
      <c r="N14" s="70"/>
      <c r="O14" s="71" t="str">
        <f t="shared" si="17"/>
        <v/>
      </c>
      <c r="P14" s="68">
        <f>Q14*C14</f>
        <v>5.4545454545454541</v>
      </c>
      <c r="Q14" s="68">
        <f t="shared" si="5"/>
        <v>5.4545454545454541</v>
      </c>
      <c r="R14" s="66">
        <v>60</v>
      </c>
      <c r="S14" s="66">
        <f t="shared" si="6"/>
        <v>240</v>
      </c>
      <c r="T14" s="67">
        <f t="shared" si="7"/>
        <v>0</v>
      </c>
      <c r="U14" s="26">
        <f t="shared" si="8"/>
        <v>0</v>
      </c>
      <c r="V14" s="44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311">
        <f t="shared" ca="1" si="9"/>
        <v>0</v>
      </c>
      <c r="BB14" s="312">
        <f t="shared" ca="1" si="10"/>
        <v>0</v>
      </c>
      <c r="BD14" s="61">
        <f>IFERROR(SUM(D14:F14)/$L$4,0)</f>
        <v>0</v>
      </c>
      <c r="BE14" s="214"/>
      <c r="BF14" s="305">
        <f t="shared" ca="1" si="11"/>
        <v>0</v>
      </c>
      <c r="BG14" s="217"/>
      <c r="BH14" s="215">
        <f ca="1">IFERROR((BG14/B14)/BF14,0)</f>
        <v>0</v>
      </c>
      <c r="BI14" s="61">
        <f t="shared" si="2"/>
        <v>0</v>
      </c>
      <c r="BJ14" s="218">
        <f t="shared" ca="1" si="18"/>
        <v>0</v>
      </c>
      <c r="BK14" s="216">
        <f t="shared" ca="1" si="12"/>
        <v>0</v>
      </c>
      <c r="BL14" s="219">
        <f t="shared" ca="1" si="13"/>
        <v>0</v>
      </c>
      <c r="BM14" s="220">
        <f t="shared" ca="1" si="14"/>
        <v>0</v>
      </c>
      <c r="BN14" s="221">
        <f t="shared" ca="1" si="15"/>
        <v>0</v>
      </c>
    </row>
    <row r="15" spans="1:82" s="6" customFormat="1" x14ac:dyDescent="0.25">
      <c r="A15" s="234" t="s">
        <v>265</v>
      </c>
      <c r="B15" s="357">
        <v>1</v>
      </c>
      <c r="C15" s="386">
        <v>0.2</v>
      </c>
      <c r="D15" s="156"/>
      <c r="E15" s="93"/>
      <c r="F15" s="93"/>
      <c r="G15" s="394"/>
      <c r="H15" s="133"/>
      <c r="I15" s="88">
        <f t="shared" si="3"/>
        <v>0</v>
      </c>
      <c r="J15" s="83">
        <f t="shared" si="4"/>
        <v>0</v>
      </c>
      <c r="K15" s="34">
        <f t="shared" si="16"/>
        <v>0</v>
      </c>
      <c r="L15" s="5">
        <f t="shared" si="1"/>
        <v>0</v>
      </c>
      <c r="M15" s="61"/>
      <c r="N15" s="70"/>
      <c r="O15" s="71" t="str">
        <f t="shared" si="17"/>
        <v/>
      </c>
      <c r="P15" s="68">
        <f>Q15*C15</f>
        <v>5.454545454545455</v>
      </c>
      <c r="Q15" s="68">
        <f t="shared" si="5"/>
        <v>27.272727272727273</v>
      </c>
      <c r="R15" s="66">
        <v>300</v>
      </c>
      <c r="S15" s="66">
        <f t="shared" si="6"/>
        <v>1200</v>
      </c>
      <c r="T15" s="67">
        <f t="shared" si="7"/>
        <v>0</v>
      </c>
      <c r="U15" s="26">
        <f t="shared" si="8"/>
        <v>0</v>
      </c>
      <c r="V15" s="44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311">
        <f t="shared" ca="1" si="9"/>
        <v>0</v>
      </c>
      <c r="BB15" s="312">
        <f t="shared" ca="1" si="10"/>
        <v>0</v>
      </c>
      <c r="BD15" s="61">
        <f>IFERROR(SUM(D15:F15)/$L$4,0)</f>
        <v>0</v>
      </c>
      <c r="BE15" s="214"/>
      <c r="BF15" s="305">
        <f t="shared" ca="1" si="11"/>
        <v>0</v>
      </c>
      <c r="BG15" s="217"/>
      <c r="BH15" s="215">
        <f ca="1">IFERROR((BG15/B15)/BF15,0)</f>
        <v>0</v>
      </c>
      <c r="BI15" s="61">
        <f t="shared" si="2"/>
        <v>0</v>
      </c>
      <c r="BJ15" s="218">
        <f t="shared" ca="1" si="18"/>
        <v>0</v>
      </c>
      <c r="BK15" s="216">
        <f t="shared" ca="1" si="12"/>
        <v>0</v>
      </c>
      <c r="BL15" s="219">
        <f t="shared" ca="1" si="13"/>
        <v>0</v>
      </c>
      <c r="BM15" s="220">
        <f t="shared" ca="1" si="14"/>
        <v>0</v>
      </c>
      <c r="BN15" s="221">
        <f t="shared" ca="1" si="15"/>
        <v>0</v>
      </c>
    </row>
    <row r="16" spans="1:82" s="6" customFormat="1" x14ac:dyDescent="0.25">
      <c r="A16" s="234" t="s">
        <v>266</v>
      </c>
      <c r="B16" s="357">
        <v>1</v>
      </c>
      <c r="C16" s="386">
        <v>0.25</v>
      </c>
      <c r="D16" s="156"/>
      <c r="E16" s="93"/>
      <c r="F16" s="93"/>
      <c r="G16" s="394"/>
      <c r="H16" s="133"/>
      <c r="I16" s="88">
        <f t="shared" si="3"/>
        <v>0</v>
      </c>
      <c r="J16" s="83">
        <f t="shared" si="4"/>
        <v>0</v>
      </c>
      <c r="K16" s="34">
        <f t="shared" si="16"/>
        <v>0</v>
      </c>
      <c r="L16" s="5">
        <f t="shared" si="1"/>
        <v>0</v>
      </c>
      <c r="M16" s="61"/>
      <c r="N16" s="70"/>
      <c r="O16" s="71" t="str">
        <f t="shared" si="17"/>
        <v/>
      </c>
      <c r="P16" s="68">
        <f>Q16*C16</f>
        <v>7.9545454545454541</v>
      </c>
      <c r="Q16" s="68">
        <f t="shared" si="5"/>
        <v>31.818181818181817</v>
      </c>
      <c r="R16" s="66">
        <v>350</v>
      </c>
      <c r="S16" s="66">
        <f t="shared" si="6"/>
        <v>1400</v>
      </c>
      <c r="T16" s="67">
        <f t="shared" si="7"/>
        <v>0</v>
      </c>
      <c r="U16" s="26">
        <f t="shared" si="8"/>
        <v>0</v>
      </c>
      <c r="V16" s="44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311">
        <f t="shared" ca="1" si="9"/>
        <v>0</v>
      </c>
      <c r="BB16" s="312">
        <f t="shared" ca="1" si="10"/>
        <v>0</v>
      </c>
      <c r="BD16" s="61">
        <f>IFERROR(SUM(D16:F16)/$L$4,0)</f>
        <v>0</v>
      </c>
      <c r="BE16" s="214"/>
      <c r="BF16" s="305">
        <f t="shared" ca="1" si="11"/>
        <v>0</v>
      </c>
      <c r="BG16" s="217"/>
      <c r="BH16" s="215">
        <f ca="1">IFERROR((BG16/B16)/BF16,0)</f>
        <v>0</v>
      </c>
      <c r="BI16" s="61">
        <f t="shared" si="2"/>
        <v>0</v>
      </c>
      <c r="BJ16" s="218">
        <f t="shared" ca="1" si="18"/>
        <v>0</v>
      </c>
      <c r="BK16" s="216">
        <f t="shared" ca="1" si="12"/>
        <v>0</v>
      </c>
      <c r="BL16" s="219">
        <f t="shared" ca="1" si="13"/>
        <v>0</v>
      </c>
      <c r="BM16" s="220">
        <f t="shared" ca="1" si="14"/>
        <v>0</v>
      </c>
      <c r="BN16" s="221">
        <f t="shared" ca="1" si="15"/>
        <v>0</v>
      </c>
    </row>
    <row r="17" spans="1:66" s="6" customFormat="1" x14ac:dyDescent="0.25">
      <c r="A17" s="234" t="s">
        <v>268</v>
      </c>
      <c r="B17" s="357">
        <v>1</v>
      </c>
      <c r="C17" s="386">
        <v>0.19</v>
      </c>
      <c r="D17" s="156"/>
      <c r="E17" s="93"/>
      <c r="F17" s="93"/>
      <c r="G17" s="394"/>
      <c r="H17" s="133"/>
      <c r="I17" s="88">
        <f t="shared" si="3"/>
        <v>0</v>
      </c>
      <c r="J17" s="83">
        <f t="shared" si="4"/>
        <v>0</v>
      </c>
      <c r="K17" s="34">
        <f t="shared" si="16"/>
        <v>0</v>
      </c>
      <c r="L17" s="5">
        <f t="shared" si="1"/>
        <v>0</v>
      </c>
      <c r="M17" s="61"/>
      <c r="N17" s="70"/>
      <c r="O17" s="71" t="str">
        <f t="shared" si="17"/>
        <v/>
      </c>
      <c r="P17" s="68">
        <f>Q17*C17</f>
        <v>4.3181818181818183</v>
      </c>
      <c r="Q17" s="68">
        <f t="shared" si="5"/>
        <v>22.727272727272727</v>
      </c>
      <c r="R17" s="66">
        <v>250</v>
      </c>
      <c r="S17" s="66">
        <f t="shared" si="6"/>
        <v>1000</v>
      </c>
      <c r="T17" s="67">
        <f t="shared" si="7"/>
        <v>0</v>
      </c>
      <c r="U17" s="26">
        <f t="shared" si="8"/>
        <v>0</v>
      </c>
      <c r="V17" s="44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311">
        <f t="shared" ca="1" si="9"/>
        <v>0</v>
      </c>
      <c r="BB17" s="312">
        <f t="shared" ca="1" si="10"/>
        <v>0</v>
      </c>
      <c r="BD17" s="61">
        <f>IFERROR(SUM(D17:F17)/$L$4,0)</f>
        <v>0</v>
      </c>
      <c r="BE17" s="214"/>
      <c r="BF17" s="305">
        <f t="shared" ca="1" si="11"/>
        <v>0</v>
      </c>
      <c r="BG17" s="217"/>
      <c r="BH17" s="215">
        <f ca="1">IFERROR((BG17/B17)/BF17,0)</f>
        <v>0</v>
      </c>
      <c r="BI17" s="61">
        <f t="shared" si="2"/>
        <v>0</v>
      </c>
      <c r="BJ17" s="218">
        <f t="shared" ca="1" si="18"/>
        <v>0</v>
      </c>
      <c r="BK17" s="216">
        <f t="shared" ca="1" si="12"/>
        <v>0</v>
      </c>
      <c r="BL17" s="219">
        <f t="shared" ca="1" si="13"/>
        <v>0</v>
      </c>
      <c r="BM17" s="220">
        <f t="shared" ca="1" si="14"/>
        <v>0</v>
      </c>
      <c r="BN17" s="221">
        <f t="shared" ca="1" si="15"/>
        <v>0</v>
      </c>
    </row>
    <row r="18" spans="1:66" s="6" customFormat="1" x14ac:dyDescent="0.25">
      <c r="A18" s="346" t="s">
        <v>258</v>
      </c>
      <c r="B18" s="357">
        <v>1.05</v>
      </c>
      <c r="C18" s="386">
        <v>1</v>
      </c>
      <c r="D18" s="156"/>
      <c r="E18" s="93"/>
      <c r="F18" s="93"/>
      <c r="G18" s="394"/>
      <c r="H18" s="133"/>
      <c r="I18" s="88">
        <f t="shared" si="3"/>
        <v>0</v>
      </c>
      <c r="J18" s="83">
        <f t="shared" si="4"/>
        <v>0</v>
      </c>
      <c r="K18" s="34">
        <f t="shared" si="16"/>
        <v>0</v>
      </c>
      <c r="L18" s="5">
        <f t="shared" si="1"/>
        <v>0</v>
      </c>
      <c r="M18" s="61"/>
      <c r="N18" s="70"/>
      <c r="O18" s="71" t="str">
        <f t="shared" si="17"/>
        <v/>
      </c>
      <c r="P18" s="68">
        <f>Q18*C18</f>
        <v>5.4545454545454541</v>
      </c>
      <c r="Q18" s="68">
        <f t="shared" si="5"/>
        <v>5.4545454545454541</v>
      </c>
      <c r="R18" s="66">
        <v>60</v>
      </c>
      <c r="S18" s="66">
        <f t="shared" si="6"/>
        <v>240</v>
      </c>
      <c r="T18" s="67">
        <f t="shared" si="7"/>
        <v>0</v>
      </c>
      <c r="U18" s="26">
        <f t="shared" si="8"/>
        <v>0</v>
      </c>
      <c r="V18" s="44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311">
        <f t="shared" ca="1" si="9"/>
        <v>0</v>
      </c>
      <c r="BB18" s="312">
        <f t="shared" ca="1" si="10"/>
        <v>0</v>
      </c>
      <c r="BD18" s="61">
        <f>IFERROR(SUM(D18:F18)/$L$4,0)</f>
        <v>0</v>
      </c>
      <c r="BE18" s="214"/>
      <c r="BF18" s="305">
        <f t="shared" ca="1" si="11"/>
        <v>0</v>
      </c>
      <c r="BG18" s="217"/>
      <c r="BH18" s="215">
        <f ca="1">IFERROR((BG18/B18)/BF18,0)</f>
        <v>0</v>
      </c>
      <c r="BI18" s="61">
        <f t="shared" si="2"/>
        <v>0</v>
      </c>
      <c r="BJ18" s="218">
        <f t="shared" ca="1" si="18"/>
        <v>0</v>
      </c>
      <c r="BK18" s="216">
        <f t="shared" ca="1" si="12"/>
        <v>0</v>
      </c>
      <c r="BL18" s="219">
        <f t="shared" ca="1" si="13"/>
        <v>0</v>
      </c>
      <c r="BM18" s="220">
        <f t="shared" ca="1" si="14"/>
        <v>0</v>
      </c>
      <c r="BN18" s="221">
        <f t="shared" ca="1" si="15"/>
        <v>0</v>
      </c>
    </row>
    <row r="19" spans="1:66" s="6" customFormat="1" x14ac:dyDescent="0.25">
      <c r="A19" s="346" t="s">
        <v>260</v>
      </c>
      <c r="B19" s="318">
        <v>1.0649999999999999</v>
      </c>
      <c r="C19" s="387">
        <v>1</v>
      </c>
      <c r="D19" s="157"/>
      <c r="E19" s="94"/>
      <c r="F19" s="94"/>
      <c r="G19" s="394"/>
      <c r="H19" s="133"/>
      <c r="I19" s="88">
        <f t="shared" si="3"/>
        <v>0</v>
      </c>
      <c r="J19" s="84">
        <f t="shared" si="4"/>
        <v>0</v>
      </c>
      <c r="K19" s="35">
        <f t="shared" si="16"/>
        <v>0</v>
      </c>
      <c r="L19" s="7">
        <f t="shared" si="1"/>
        <v>0</v>
      </c>
      <c r="M19" s="62"/>
      <c r="N19" s="70"/>
      <c r="O19" s="71" t="str">
        <f t="shared" si="17"/>
        <v/>
      </c>
      <c r="P19" s="68">
        <f>Q19*C19</f>
        <v>5.4545454545454541</v>
      </c>
      <c r="Q19" s="68">
        <f t="shared" si="5"/>
        <v>5.4545454545454541</v>
      </c>
      <c r="R19" s="66">
        <v>60</v>
      </c>
      <c r="S19" s="66">
        <f t="shared" si="6"/>
        <v>240</v>
      </c>
      <c r="T19" s="67">
        <f t="shared" si="7"/>
        <v>0</v>
      </c>
      <c r="U19" s="26">
        <f t="shared" si="8"/>
        <v>0</v>
      </c>
      <c r="V19" s="44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311">
        <f t="shared" ca="1" si="9"/>
        <v>0</v>
      </c>
      <c r="BB19" s="312">
        <f t="shared" ca="1" si="10"/>
        <v>0</v>
      </c>
      <c r="BD19" s="61">
        <f>IFERROR(SUM(D19:F19)/$L$4,0)</f>
        <v>0</v>
      </c>
      <c r="BE19" s="214"/>
      <c r="BF19" s="305">
        <f t="shared" ca="1" si="11"/>
        <v>0</v>
      </c>
      <c r="BG19" s="217"/>
      <c r="BH19" s="215">
        <f ca="1">IFERROR((BG19/B19)/BF19,0)</f>
        <v>0</v>
      </c>
      <c r="BI19" s="61">
        <f t="shared" si="2"/>
        <v>0</v>
      </c>
      <c r="BJ19" s="218">
        <f t="shared" ca="1" si="18"/>
        <v>0</v>
      </c>
      <c r="BK19" s="216">
        <f ca="1">IFERROR(BJ19/$BE$3,0)</f>
        <v>0</v>
      </c>
      <c r="BL19" s="219">
        <f t="shared" ca="1" si="13"/>
        <v>0</v>
      </c>
      <c r="BM19" s="220">
        <f t="shared" ca="1" si="14"/>
        <v>0</v>
      </c>
      <c r="BN19" s="221">
        <f t="shared" ca="1" si="15"/>
        <v>0</v>
      </c>
    </row>
    <row r="20" spans="1:66" s="6" customFormat="1" x14ac:dyDescent="0.25">
      <c r="A20" s="346" t="s">
        <v>264</v>
      </c>
      <c r="B20" s="357">
        <v>1</v>
      </c>
      <c r="C20" s="386">
        <v>0.15</v>
      </c>
      <c r="D20" s="156"/>
      <c r="E20" s="93"/>
      <c r="F20" s="93"/>
      <c r="G20" s="394"/>
      <c r="H20" s="133"/>
      <c r="I20" s="88">
        <f t="shared" si="3"/>
        <v>0</v>
      </c>
      <c r="J20" s="83">
        <f t="shared" si="4"/>
        <v>0</v>
      </c>
      <c r="K20" s="34">
        <f t="shared" si="16"/>
        <v>0</v>
      </c>
      <c r="L20" s="5">
        <f t="shared" si="1"/>
        <v>0</v>
      </c>
      <c r="M20" s="61"/>
      <c r="N20" s="70"/>
      <c r="O20" s="71" t="str">
        <f t="shared" si="17"/>
        <v/>
      </c>
      <c r="P20" s="68">
        <f>Q20*C20</f>
        <v>0.81818181818181812</v>
      </c>
      <c r="Q20" s="68">
        <f t="shared" si="5"/>
        <v>5.4545454545454541</v>
      </c>
      <c r="R20" s="66">
        <v>60</v>
      </c>
      <c r="S20" s="66">
        <f t="shared" si="6"/>
        <v>240</v>
      </c>
      <c r="T20" s="67">
        <f t="shared" si="7"/>
        <v>0</v>
      </c>
      <c r="U20" s="26">
        <f t="shared" si="8"/>
        <v>0</v>
      </c>
      <c r="V20" s="44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311">
        <f t="shared" ca="1" si="9"/>
        <v>0</v>
      </c>
      <c r="BB20" s="312">
        <f t="shared" ca="1" si="10"/>
        <v>0</v>
      </c>
      <c r="BD20" s="61">
        <f>IFERROR(SUM(D20:F20)/$L$4,0)</f>
        <v>0</v>
      </c>
      <c r="BE20" s="214"/>
      <c r="BF20" s="305">
        <f t="shared" ca="1" si="11"/>
        <v>0</v>
      </c>
      <c r="BG20" s="217"/>
      <c r="BH20" s="215">
        <f ca="1">IFERROR((BG20/B20)/BF20,0)</f>
        <v>0</v>
      </c>
      <c r="BI20" s="61">
        <f>H20</f>
        <v>0</v>
      </c>
      <c r="BJ20" s="218">
        <f t="shared" ca="1" si="18"/>
        <v>0</v>
      </c>
      <c r="BK20" s="216">
        <f t="shared" ca="1" si="12"/>
        <v>0</v>
      </c>
      <c r="BL20" s="219">
        <f t="shared" ca="1" si="13"/>
        <v>0</v>
      </c>
      <c r="BM20" s="220">
        <f t="shared" ca="1" si="14"/>
        <v>0</v>
      </c>
      <c r="BN20" s="221">
        <f t="shared" ca="1" si="15"/>
        <v>0</v>
      </c>
    </row>
    <row r="21" spans="1:66" s="6" customFormat="1" x14ac:dyDescent="0.25">
      <c r="A21" s="346" t="s">
        <v>267</v>
      </c>
      <c r="B21" s="357">
        <v>1</v>
      </c>
      <c r="C21" s="386">
        <v>0.15</v>
      </c>
      <c r="D21" s="156"/>
      <c r="E21" s="93"/>
      <c r="F21" s="93"/>
      <c r="G21" s="394"/>
      <c r="H21" s="133"/>
      <c r="I21" s="88">
        <f t="shared" si="3"/>
        <v>0</v>
      </c>
      <c r="J21" s="83">
        <f t="shared" si="4"/>
        <v>0</v>
      </c>
      <c r="K21" s="34">
        <f t="shared" si="16"/>
        <v>0</v>
      </c>
      <c r="L21" s="5">
        <f t="shared" si="1"/>
        <v>0</v>
      </c>
      <c r="M21" s="61"/>
      <c r="N21" s="70"/>
      <c r="O21" s="71" t="str">
        <f t="shared" si="17"/>
        <v/>
      </c>
      <c r="P21" s="68">
        <f>Q21*C21</f>
        <v>0.81818181818181812</v>
      </c>
      <c r="Q21" s="68">
        <f t="shared" si="5"/>
        <v>5.4545454545454541</v>
      </c>
      <c r="R21" s="66">
        <v>60</v>
      </c>
      <c r="S21" s="66">
        <f t="shared" si="6"/>
        <v>240</v>
      </c>
      <c r="T21" s="67">
        <f t="shared" si="7"/>
        <v>0</v>
      </c>
      <c r="U21" s="26">
        <f t="shared" si="8"/>
        <v>0</v>
      </c>
      <c r="V21" s="44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311">
        <f t="shared" ca="1" si="9"/>
        <v>0</v>
      </c>
      <c r="BB21" s="312">
        <f t="shared" ca="1" si="10"/>
        <v>0</v>
      </c>
      <c r="BD21" s="61">
        <f>IFERROR(SUM(D21:F21)/$L$4,0)</f>
        <v>0</v>
      </c>
      <c r="BE21" s="214"/>
      <c r="BF21" s="305">
        <f t="shared" ca="1" si="11"/>
        <v>0</v>
      </c>
      <c r="BG21" s="217"/>
      <c r="BH21" s="215">
        <f ca="1">IFERROR((BG21/B21)/BF21,0)</f>
        <v>0</v>
      </c>
      <c r="BI21" s="61">
        <f t="shared" ref="BI21:BI30" si="19">H21</f>
        <v>0</v>
      </c>
      <c r="BJ21" s="218">
        <f t="shared" ca="1" si="18"/>
        <v>0</v>
      </c>
      <c r="BK21" s="216">
        <f t="shared" ca="1" si="12"/>
        <v>0</v>
      </c>
      <c r="BL21" s="219">
        <f t="shared" ca="1" si="13"/>
        <v>0</v>
      </c>
      <c r="BM21" s="220">
        <f t="shared" ca="1" si="14"/>
        <v>0</v>
      </c>
      <c r="BN21" s="221">
        <f t="shared" ca="1" si="15"/>
        <v>0</v>
      </c>
    </row>
    <row r="22" spans="1:66" s="6" customFormat="1" x14ac:dyDescent="0.25">
      <c r="A22" s="346" t="s">
        <v>40</v>
      </c>
      <c r="B22" s="357">
        <v>1</v>
      </c>
      <c r="C22" s="386">
        <v>0.3</v>
      </c>
      <c r="D22" s="156"/>
      <c r="E22" s="93"/>
      <c r="F22" s="93"/>
      <c r="G22" s="394"/>
      <c r="H22" s="133"/>
      <c r="I22" s="88">
        <f t="shared" si="3"/>
        <v>0</v>
      </c>
      <c r="J22" s="83">
        <f t="shared" si="4"/>
        <v>0</v>
      </c>
      <c r="K22" s="34">
        <f t="shared" si="16"/>
        <v>0</v>
      </c>
      <c r="L22" s="5">
        <f t="shared" si="1"/>
        <v>0</v>
      </c>
      <c r="M22" s="61"/>
      <c r="N22" s="70"/>
      <c r="O22" s="71" t="str">
        <f t="shared" si="17"/>
        <v/>
      </c>
      <c r="P22" s="68">
        <f>Q22*C22</f>
        <v>2.7272727272727275</v>
      </c>
      <c r="Q22" s="68">
        <f t="shared" si="5"/>
        <v>9.0909090909090917</v>
      </c>
      <c r="R22" s="66">
        <v>100</v>
      </c>
      <c r="S22" s="66">
        <f t="shared" si="6"/>
        <v>400</v>
      </c>
      <c r="T22" s="67">
        <f t="shared" si="7"/>
        <v>0</v>
      </c>
      <c r="U22" s="26">
        <f t="shared" si="8"/>
        <v>0</v>
      </c>
      <c r="V22" s="44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311">
        <f t="shared" ca="1" si="9"/>
        <v>0</v>
      </c>
      <c r="BB22" s="312">
        <f t="shared" ca="1" si="10"/>
        <v>0</v>
      </c>
      <c r="BD22" s="61">
        <f>IFERROR(SUM(D22:F22)/$L$4,0)</f>
        <v>0</v>
      </c>
      <c r="BE22" s="214"/>
      <c r="BF22" s="305">
        <f t="shared" ca="1" si="11"/>
        <v>0</v>
      </c>
      <c r="BG22" s="217"/>
      <c r="BH22" s="215">
        <f ca="1">IFERROR((BG22/B22)/BF22,0)</f>
        <v>0</v>
      </c>
      <c r="BI22" s="61">
        <f t="shared" si="19"/>
        <v>0</v>
      </c>
      <c r="BJ22" s="218">
        <f t="shared" ca="1" si="18"/>
        <v>0</v>
      </c>
      <c r="BK22" s="216">
        <f t="shared" ca="1" si="12"/>
        <v>0</v>
      </c>
      <c r="BL22" s="219">
        <f t="shared" ca="1" si="13"/>
        <v>0</v>
      </c>
      <c r="BM22" s="220">
        <f t="shared" ca="1" si="14"/>
        <v>0</v>
      </c>
      <c r="BN22" s="221">
        <f t="shared" ca="1" si="15"/>
        <v>0</v>
      </c>
    </row>
    <row r="23" spans="1:66" s="6" customFormat="1" x14ac:dyDescent="0.25">
      <c r="A23" s="346" t="s">
        <v>41</v>
      </c>
      <c r="B23" s="357">
        <v>1</v>
      </c>
      <c r="C23" s="386">
        <v>0.3</v>
      </c>
      <c r="D23" s="156"/>
      <c r="E23" s="93"/>
      <c r="F23" s="93"/>
      <c r="G23" s="394"/>
      <c r="H23" s="133"/>
      <c r="I23" s="88">
        <f t="shared" si="3"/>
        <v>0</v>
      </c>
      <c r="J23" s="83">
        <f t="shared" si="4"/>
        <v>0</v>
      </c>
      <c r="K23" s="34">
        <f t="shared" si="16"/>
        <v>0</v>
      </c>
      <c r="L23" s="5">
        <f t="shared" si="1"/>
        <v>0</v>
      </c>
      <c r="M23" s="61"/>
      <c r="N23" s="70"/>
      <c r="O23" s="71" t="str">
        <f t="shared" si="17"/>
        <v/>
      </c>
      <c r="P23" s="68">
        <f>Q23*C23</f>
        <v>2.7272727272727275</v>
      </c>
      <c r="Q23" s="68">
        <f t="shared" si="5"/>
        <v>9.0909090909090917</v>
      </c>
      <c r="R23" s="66">
        <v>100</v>
      </c>
      <c r="S23" s="66">
        <f t="shared" si="6"/>
        <v>400</v>
      </c>
      <c r="T23" s="67">
        <f t="shared" si="7"/>
        <v>0</v>
      </c>
      <c r="U23" s="26">
        <f t="shared" si="8"/>
        <v>0</v>
      </c>
      <c r="V23" s="44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311">
        <f t="shared" ca="1" si="9"/>
        <v>0</v>
      </c>
      <c r="BB23" s="312">
        <f t="shared" ca="1" si="10"/>
        <v>0</v>
      </c>
      <c r="BD23" s="61">
        <f>IFERROR(SUM(D23:F23)/$L$4,0)</f>
        <v>0</v>
      </c>
      <c r="BE23" s="214"/>
      <c r="BF23" s="305">
        <f t="shared" ca="1" si="11"/>
        <v>0</v>
      </c>
      <c r="BG23" s="217"/>
      <c r="BH23" s="215">
        <f ca="1">IFERROR((BG23/B23)/BF23,0)</f>
        <v>0</v>
      </c>
      <c r="BI23" s="61">
        <f t="shared" si="19"/>
        <v>0</v>
      </c>
      <c r="BJ23" s="218">
        <f t="shared" ca="1" si="18"/>
        <v>0</v>
      </c>
      <c r="BK23" s="216">
        <f t="shared" ca="1" si="12"/>
        <v>0</v>
      </c>
      <c r="BL23" s="219">
        <f t="shared" ca="1" si="13"/>
        <v>0</v>
      </c>
      <c r="BM23" s="220">
        <f t="shared" ca="1" si="14"/>
        <v>0</v>
      </c>
      <c r="BN23" s="221">
        <f t="shared" ca="1" si="15"/>
        <v>0</v>
      </c>
    </row>
    <row r="24" spans="1:66" s="6" customFormat="1" x14ac:dyDescent="0.25">
      <c r="A24" s="346" t="s">
        <v>42</v>
      </c>
      <c r="B24" s="357">
        <v>1</v>
      </c>
      <c r="C24" s="386">
        <v>0.45</v>
      </c>
      <c r="D24" s="156"/>
      <c r="E24" s="93"/>
      <c r="F24" s="93"/>
      <c r="G24" s="394"/>
      <c r="H24" s="133"/>
      <c r="I24" s="88">
        <f t="shared" si="3"/>
        <v>0</v>
      </c>
      <c r="J24" s="83">
        <f t="shared" si="4"/>
        <v>0</v>
      </c>
      <c r="K24" s="34">
        <f t="shared" si="16"/>
        <v>0</v>
      </c>
      <c r="L24" s="5">
        <f t="shared" si="1"/>
        <v>0</v>
      </c>
      <c r="M24" s="61"/>
      <c r="N24" s="70"/>
      <c r="O24" s="71" t="str">
        <f t="shared" si="17"/>
        <v/>
      </c>
      <c r="P24" s="68">
        <f>Q24*C24</f>
        <v>2.8636363636363638</v>
      </c>
      <c r="Q24" s="68">
        <f t="shared" si="5"/>
        <v>6.3636363636363633</v>
      </c>
      <c r="R24" s="66">
        <v>70</v>
      </c>
      <c r="S24" s="66">
        <f t="shared" si="6"/>
        <v>280</v>
      </c>
      <c r="T24" s="67">
        <f t="shared" si="7"/>
        <v>0</v>
      </c>
      <c r="U24" s="26">
        <f t="shared" si="8"/>
        <v>0</v>
      </c>
      <c r="V24" s="44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311">
        <f t="shared" ca="1" si="9"/>
        <v>0</v>
      </c>
      <c r="BB24" s="312">
        <f t="shared" ca="1" si="10"/>
        <v>0</v>
      </c>
      <c r="BD24" s="61">
        <f>IFERROR(SUM(D24:F24)/$L$4,0)</f>
        <v>0</v>
      </c>
      <c r="BE24" s="214"/>
      <c r="BF24" s="305">
        <f t="shared" ca="1" si="11"/>
        <v>0</v>
      </c>
      <c r="BG24" s="217"/>
      <c r="BH24" s="215">
        <f ca="1">IFERROR((BG24/B24)/BF24,0)</f>
        <v>0</v>
      </c>
      <c r="BI24" s="61">
        <f t="shared" si="19"/>
        <v>0</v>
      </c>
      <c r="BJ24" s="218">
        <f t="shared" ca="1" si="18"/>
        <v>0</v>
      </c>
      <c r="BK24" s="216">
        <f t="shared" ca="1" si="12"/>
        <v>0</v>
      </c>
      <c r="BL24" s="219">
        <f t="shared" ca="1" si="13"/>
        <v>0</v>
      </c>
      <c r="BM24" s="220">
        <f t="shared" ca="1" si="14"/>
        <v>0</v>
      </c>
      <c r="BN24" s="221">
        <f t="shared" ca="1" si="15"/>
        <v>0</v>
      </c>
    </row>
    <row r="25" spans="1:66" s="6" customFormat="1" x14ac:dyDescent="0.25">
      <c r="A25" s="347" t="s">
        <v>277</v>
      </c>
      <c r="B25" s="357">
        <v>1.05</v>
      </c>
      <c r="C25" s="386">
        <v>1</v>
      </c>
      <c r="D25" s="93"/>
      <c r="E25" s="93"/>
      <c r="F25" s="93"/>
      <c r="G25" s="394"/>
      <c r="H25" s="133"/>
      <c r="I25" s="88">
        <f t="shared" si="3"/>
        <v>0</v>
      </c>
      <c r="J25" s="83">
        <f t="shared" si="4"/>
        <v>0</v>
      </c>
      <c r="K25" s="34">
        <f t="shared" si="16"/>
        <v>0</v>
      </c>
      <c r="L25" s="5">
        <f t="shared" si="1"/>
        <v>0</v>
      </c>
      <c r="M25" s="61"/>
      <c r="N25" s="70"/>
      <c r="O25" s="71" t="str">
        <f t="shared" si="17"/>
        <v/>
      </c>
      <c r="P25" s="68">
        <f>Q25*C25</f>
        <v>2.7272727272727271</v>
      </c>
      <c r="Q25" s="68">
        <f t="shared" si="5"/>
        <v>2.7272727272727271</v>
      </c>
      <c r="R25" s="66">
        <v>30</v>
      </c>
      <c r="S25" s="66">
        <f t="shared" si="6"/>
        <v>120</v>
      </c>
      <c r="T25" s="67">
        <f t="shared" si="7"/>
        <v>0</v>
      </c>
      <c r="U25" s="26">
        <f t="shared" si="8"/>
        <v>0</v>
      </c>
      <c r="V25" s="44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311">
        <f t="shared" ca="1" si="9"/>
        <v>0</v>
      </c>
      <c r="BB25" s="312">
        <f t="shared" ca="1" si="10"/>
        <v>0</v>
      </c>
      <c r="BD25" s="61">
        <f>IFERROR(SUM(D25:F25)/$L$4,0)</f>
        <v>0</v>
      </c>
      <c r="BE25" s="214"/>
      <c r="BF25" s="305">
        <f t="shared" ca="1" si="11"/>
        <v>0</v>
      </c>
      <c r="BG25" s="217"/>
      <c r="BH25" s="215">
        <f ca="1">IFERROR((BG25/B25)/BF25,0)</f>
        <v>0</v>
      </c>
      <c r="BI25" s="61">
        <f t="shared" si="19"/>
        <v>0</v>
      </c>
      <c r="BJ25" s="218">
        <f t="shared" ca="1" si="18"/>
        <v>0</v>
      </c>
      <c r="BK25" s="216">
        <f t="shared" ca="1" si="12"/>
        <v>0</v>
      </c>
      <c r="BL25" s="219">
        <f t="shared" ca="1" si="13"/>
        <v>0</v>
      </c>
      <c r="BM25" s="220">
        <f t="shared" ca="1" si="14"/>
        <v>0</v>
      </c>
      <c r="BN25" s="221">
        <f t="shared" ca="1" si="15"/>
        <v>0</v>
      </c>
    </row>
    <row r="26" spans="1:66" s="6" customFormat="1" x14ac:dyDescent="0.25">
      <c r="A26" s="39"/>
      <c r="B26" s="357"/>
      <c r="C26" s="386"/>
      <c r="D26" s="93"/>
      <c r="E26" s="93"/>
      <c r="F26" s="93"/>
      <c r="G26" s="394"/>
      <c r="H26" s="133"/>
      <c r="I26" s="88">
        <f t="shared" si="3"/>
        <v>0</v>
      </c>
      <c r="J26" s="83">
        <f t="shared" si="4"/>
        <v>0</v>
      </c>
      <c r="K26" s="34">
        <f t="shared" si="16"/>
        <v>0</v>
      </c>
      <c r="L26" s="5">
        <f t="shared" si="1"/>
        <v>0</v>
      </c>
      <c r="M26" s="61"/>
      <c r="N26" s="70"/>
      <c r="O26" s="71" t="str">
        <f t="shared" si="17"/>
        <v/>
      </c>
      <c r="P26" s="68">
        <f>Q26*C26</f>
        <v>0</v>
      </c>
      <c r="Q26" s="68">
        <f t="shared" si="5"/>
        <v>1E-4</v>
      </c>
      <c r="R26" s="66"/>
      <c r="S26" s="66">
        <f t="shared" si="6"/>
        <v>0</v>
      </c>
      <c r="T26" s="67">
        <f t="shared" si="7"/>
        <v>0</v>
      </c>
      <c r="U26" s="26">
        <f t="shared" si="8"/>
        <v>0</v>
      </c>
      <c r="V26" s="44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311">
        <f t="shared" ca="1" si="9"/>
        <v>0</v>
      </c>
      <c r="BB26" s="312">
        <f t="shared" ca="1" si="10"/>
        <v>0</v>
      </c>
      <c r="BD26" s="61">
        <f>IFERROR(SUM(D26:F26)/$L$4,0)</f>
        <v>0</v>
      </c>
      <c r="BE26" s="214"/>
      <c r="BF26" s="305">
        <f t="shared" ca="1" si="11"/>
        <v>0</v>
      </c>
      <c r="BG26" s="217"/>
      <c r="BH26" s="215">
        <f ca="1">IFERROR((BG26/B26)/BF26,0)</f>
        <v>0</v>
      </c>
      <c r="BI26" s="61">
        <f t="shared" si="19"/>
        <v>0</v>
      </c>
      <c r="BJ26" s="218">
        <f t="shared" ca="1" si="18"/>
        <v>0</v>
      </c>
      <c r="BK26" s="216">
        <f t="shared" ca="1" si="12"/>
        <v>0</v>
      </c>
      <c r="BL26" s="219">
        <f t="shared" ca="1" si="13"/>
        <v>0</v>
      </c>
      <c r="BM26" s="220">
        <f t="shared" ca="1" si="14"/>
        <v>0</v>
      </c>
      <c r="BN26" s="221">
        <f t="shared" ca="1" si="15"/>
        <v>0</v>
      </c>
    </row>
    <row r="27" spans="1:66" s="6" customFormat="1" x14ac:dyDescent="0.25">
      <c r="A27" s="235"/>
      <c r="B27" s="357"/>
      <c r="C27" s="387"/>
      <c r="D27" s="94"/>
      <c r="E27" s="94"/>
      <c r="F27" s="94"/>
      <c r="G27" s="394"/>
      <c r="H27" s="133"/>
      <c r="I27" s="88">
        <f t="shared" si="3"/>
        <v>0</v>
      </c>
      <c r="J27" s="84">
        <f t="shared" si="4"/>
        <v>0</v>
      </c>
      <c r="K27" s="35">
        <f t="shared" si="16"/>
        <v>0</v>
      </c>
      <c r="L27" s="7">
        <f t="shared" si="1"/>
        <v>0</v>
      </c>
      <c r="M27" s="62"/>
      <c r="N27" s="70"/>
      <c r="O27" s="71" t="str">
        <f t="shared" si="17"/>
        <v/>
      </c>
      <c r="P27" s="68">
        <f>Q27*C27</f>
        <v>0</v>
      </c>
      <c r="Q27" s="68">
        <f t="shared" si="5"/>
        <v>1E-4</v>
      </c>
      <c r="R27" s="66"/>
      <c r="S27" s="66">
        <f t="shared" si="6"/>
        <v>0</v>
      </c>
      <c r="T27" s="67">
        <f t="shared" si="7"/>
        <v>0</v>
      </c>
      <c r="U27" s="26">
        <f t="shared" si="8"/>
        <v>0</v>
      </c>
      <c r="V27" s="44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311">
        <f t="shared" ca="1" si="9"/>
        <v>0</v>
      </c>
      <c r="BB27" s="312">
        <f t="shared" ca="1" si="10"/>
        <v>0</v>
      </c>
      <c r="BD27" s="61">
        <f>IFERROR(SUM(D27:F27)/$L$4,0)</f>
        <v>0</v>
      </c>
      <c r="BE27" s="214"/>
      <c r="BF27" s="305">
        <f t="shared" ca="1" si="11"/>
        <v>0</v>
      </c>
      <c r="BG27" s="217"/>
      <c r="BH27" s="215">
        <f ca="1">IFERROR((BG27/B27)/BF27,0)</f>
        <v>0</v>
      </c>
      <c r="BI27" s="61">
        <f t="shared" si="19"/>
        <v>0</v>
      </c>
      <c r="BJ27" s="218">
        <f t="shared" ca="1" si="18"/>
        <v>0</v>
      </c>
      <c r="BK27" s="216">
        <f t="shared" ca="1" si="12"/>
        <v>0</v>
      </c>
      <c r="BL27" s="219">
        <f t="shared" ca="1" si="13"/>
        <v>0</v>
      </c>
      <c r="BM27" s="220">
        <f t="shared" ca="1" si="14"/>
        <v>0</v>
      </c>
      <c r="BN27" s="221">
        <f t="shared" ca="1" si="15"/>
        <v>0</v>
      </c>
    </row>
    <row r="28" spans="1:66" s="6" customFormat="1" x14ac:dyDescent="0.25">
      <c r="A28" s="236"/>
      <c r="B28" s="357"/>
      <c r="C28" s="386"/>
      <c r="D28" s="93"/>
      <c r="E28" s="93"/>
      <c r="F28" s="93"/>
      <c r="G28" s="394"/>
      <c r="H28" s="133"/>
      <c r="I28" s="88">
        <f t="shared" si="3"/>
        <v>0</v>
      </c>
      <c r="J28" s="83">
        <f t="shared" si="4"/>
        <v>0</v>
      </c>
      <c r="K28" s="34">
        <f t="shared" si="16"/>
        <v>0</v>
      </c>
      <c r="L28" s="5">
        <f t="shared" si="1"/>
        <v>0</v>
      </c>
      <c r="M28" s="61"/>
      <c r="N28" s="70"/>
      <c r="O28" s="71" t="str">
        <f t="shared" si="17"/>
        <v/>
      </c>
      <c r="P28" s="68">
        <f>Q28*C28</f>
        <v>0</v>
      </c>
      <c r="Q28" s="68">
        <f t="shared" si="5"/>
        <v>1E-4</v>
      </c>
      <c r="R28" s="66"/>
      <c r="S28" s="66">
        <f t="shared" si="6"/>
        <v>0</v>
      </c>
      <c r="T28" s="67">
        <f t="shared" si="7"/>
        <v>0</v>
      </c>
      <c r="U28" s="26">
        <f t="shared" si="8"/>
        <v>0</v>
      </c>
      <c r="V28" s="44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311">
        <f t="shared" ca="1" si="9"/>
        <v>0</v>
      </c>
      <c r="BB28" s="312">
        <f t="shared" ca="1" si="10"/>
        <v>0</v>
      </c>
      <c r="BD28" s="61">
        <f>IFERROR(SUM(D28:F28)/$L$4,0)</f>
        <v>0</v>
      </c>
      <c r="BE28" s="214"/>
      <c r="BF28" s="305">
        <f t="shared" ca="1" si="11"/>
        <v>0</v>
      </c>
      <c r="BG28" s="217"/>
      <c r="BH28" s="215">
        <f ca="1">IFERROR((BG28/B28)/BF28,0)</f>
        <v>0</v>
      </c>
      <c r="BI28" s="61">
        <f t="shared" si="19"/>
        <v>0</v>
      </c>
      <c r="BJ28" s="218">
        <f t="shared" ca="1" si="18"/>
        <v>0</v>
      </c>
      <c r="BK28" s="216">
        <f t="shared" ca="1" si="12"/>
        <v>0</v>
      </c>
      <c r="BL28" s="219">
        <f t="shared" ca="1" si="13"/>
        <v>0</v>
      </c>
      <c r="BM28" s="220">
        <f t="shared" ca="1" si="14"/>
        <v>0</v>
      </c>
      <c r="BN28" s="221">
        <f t="shared" ca="1" si="15"/>
        <v>0</v>
      </c>
    </row>
    <row r="29" spans="1:66" s="6" customFormat="1" x14ac:dyDescent="0.25">
      <c r="A29" s="236"/>
      <c r="B29" s="357"/>
      <c r="C29" s="386"/>
      <c r="D29" s="93"/>
      <c r="E29" s="93"/>
      <c r="F29" s="93"/>
      <c r="G29" s="394"/>
      <c r="H29" s="133"/>
      <c r="I29" s="88">
        <f t="shared" si="3"/>
        <v>0</v>
      </c>
      <c r="J29" s="83">
        <f t="shared" si="4"/>
        <v>0</v>
      </c>
      <c r="K29" s="34">
        <f t="shared" si="16"/>
        <v>0</v>
      </c>
      <c r="L29" s="5">
        <f t="shared" si="1"/>
        <v>0</v>
      </c>
      <c r="M29" s="61"/>
      <c r="N29" s="70"/>
      <c r="O29" s="71" t="str">
        <f t="shared" si="17"/>
        <v/>
      </c>
      <c r="P29" s="68">
        <f>Q29*C29</f>
        <v>0</v>
      </c>
      <c r="Q29" s="68">
        <f t="shared" si="5"/>
        <v>1E-4</v>
      </c>
      <c r="R29" s="66"/>
      <c r="S29" s="66">
        <f t="shared" si="6"/>
        <v>0</v>
      </c>
      <c r="T29" s="67">
        <f t="shared" si="7"/>
        <v>0</v>
      </c>
      <c r="U29" s="26">
        <f t="shared" si="8"/>
        <v>0</v>
      </c>
      <c r="V29" s="44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311">
        <f t="shared" ca="1" si="9"/>
        <v>0</v>
      </c>
      <c r="BB29" s="312">
        <f t="shared" ca="1" si="10"/>
        <v>0</v>
      </c>
      <c r="BD29" s="61">
        <f>IFERROR(SUM(D29:F29)/$L$4,0)</f>
        <v>0</v>
      </c>
      <c r="BE29" s="214"/>
      <c r="BF29" s="305">
        <f t="shared" ca="1" si="11"/>
        <v>0</v>
      </c>
      <c r="BG29" s="217"/>
      <c r="BH29" s="215">
        <f ca="1">IFERROR((BG29/B29)/BF29,0)</f>
        <v>0</v>
      </c>
      <c r="BI29" s="61">
        <f t="shared" si="19"/>
        <v>0</v>
      </c>
      <c r="BJ29" s="218">
        <f t="shared" ca="1" si="18"/>
        <v>0</v>
      </c>
      <c r="BK29" s="216">
        <f t="shared" ca="1" si="12"/>
        <v>0</v>
      </c>
      <c r="BL29" s="219">
        <f t="shared" ca="1" si="13"/>
        <v>0</v>
      </c>
      <c r="BM29" s="220">
        <f t="shared" ca="1" si="14"/>
        <v>0</v>
      </c>
      <c r="BN29" s="221">
        <f t="shared" ca="1" si="15"/>
        <v>0</v>
      </c>
    </row>
    <row r="30" spans="1:66" s="6" customFormat="1" x14ac:dyDescent="0.25">
      <c r="A30" s="236"/>
      <c r="B30" s="357"/>
      <c r="C30" s="386"/>
      <c r="D30" s="93"/>
      <c r="E30" s="93"/>
      <c r="F30" s="93"/>
      <c r="G30" s="394"/>
      <c r="H30" s="133"/>
      <c r="I30" s="88">
        <f t="shared" si="3"/>
        <v>0</v>
      </c>
      <c r="J30" s="83">
        <f t="shared" si="4"/>
        <v>0</v>
      </c>
      <c r="K30" s="34">
        <f t="shared" si="16"/>
        <v>0</v>
      </c>
      <c r="L30" s="5">
        <f t="shared" si="1"/>
        <v>0</v>
      </c>
      <c r="M30" s="61"/>
      <c r="N30" s="70"/>
      <c r="O30" s="71" t="str">
        <f t="shared" si="17"/>
        <v/>
      </c>
      <c r="P30" s="68">
        <f>Q30*C30</f>
        <v>0</v>
      </c>
      <c r="Q30" s="68">
        <f t="shared" si="5"/>
        <v>1E-4</v>
      </c>
      <c r="R30" s="66"/>
      <c r="S30" s="66">
        <f t="shared" si="6"/>
        <v>0</v>
      </c>
      <c r="T30" s="67">
        <f t="shared" si="7"/>
        <v>0</v>
      </c>
      <c r="U30" s="26">
        <f t="shared" si="8"/>
        <v>0</v>
      </c>
      <c r="V30" s="44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311">
        <f t="shared" ca="1" si="9"/>
        <v>0</v>
      </c>
      <c r="BB30" s="312">
        <f t="shared" ca="1" si="10"/>
        <v>0</v>
      </c>
      <c r="BD30" s="61">
        <f>IFERROR(SUM(D30:F30)/$L$4,0)</f>
        <v>0</v>
      </c>
      <c r="BE30" s="214"/>
      <c r="BF30" s="305">
        <f t="shared" ca="1" si="11"/>
        <v>0</v>
      </c>
      <c r="BG30" s="217"/>
      <c r="BH30" s="215">
        <f ca="1">IFERROR((BG30/B30)/BF30,0)</f>
        <v>0</v>
      </c>
      <c r="BI30" s="61">
        <f t="shared" si="19"/>
        <v>0</v>
      </c>
      <c r="BJ30" s="218">
        <f t="shared" ca="1" si="18"/>
        <v>0</v>
      </c>
      <c r="BK30" s="216">
        <f t="shared" ca="1" si="12"/>
        <v>0</v>
      </c>
      <c r="BL30" s="219">
        <f t="shared" ca="1" si="13"/>
        <v>0</v>
      </c>
      <c r="BM30" s="220">
        <f t="shared" ca="1" si="14"/>
        <v>0</v>
      </c>
      <c r="BN30" s="221">
        <f t="shared" ca="1" si="15"/>
        <v>0</v>
      </c>
    </row>
    <row r="31" spans="1:66" s="6" customFormat="1" x14ac:dyDescent="0.25">
      <c r="A31" s="236"/>
      <c r="B31" s="357"/>
      <c r="C31" s="386"/>
      <c r="D31" s="93"/>
      <c r="E31" s="93"/>
      <c r="F31" s="93"/>
      <c r="G31" s="394"/>
      <c r="H31" s="133"/>
      <c r="I31" s="88">
        <f t="shared" si="3"/>
        <v>0</v>
      </c>
      <c r="J31" s="83">
        <f t="shared" si="4"/>
        <v>0</v>
      </c>
      <c r="K31" s="34">
        <f t="shared" si="16"/>
        <v>0</v>
      </c>
      <c r="L31" s="5">
        <f t="shared" si="1"/>
        <v>0</v>
      </c>
      <c r="M31" s="61"/>
      <c r="N31" s="70"/>
      <c r="O31" s="71" t="str">
        <f t="shared" si="17"/>
        <v/>
      </c>
      <c r="P31" s="68">
        <f>Q31*C31</f>
        <v>0</v>
      </c>
      <c r="Q31" s="68">
        <f t="shared" si="5"/>
        <v>1E-4</v>
      </c>
      <c r="R31" s="66"/>
      <c r="S31" s="66">
        <f t="shared" si="6"/>
        <v>0</v>
      </c>
      <c r="T31" s="67">
        <f t="shared" si="7"/>
        <v>0</v>
      </c>
      <c r="U31" s="26">
        <f t="shared" si="8"/>
        <v>0</v>
      </c>
      <c r="V31" s="44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311">
        <f t="shared" ca="1" si="9"/>
        <v>0</v>
      </c>
      <c r="BB31" s="312">
        <f t="shared" ca="1" si="10"/>
        <v>0</v>
      </c>
      <c r="BD31" s="61">
        <f>IFERROR(SUM(D31:F31)/$L$4,0)</f>
        <v>0</v>
      </c>
      <c r="BE31" s="214"/>
      <c r="BF31" s="305">
        <f t="shared" ca="1" si="11"/>
        <v>0</v>
      </c>
      <c r="BG31" s="217"/>
      <c r="BH31" s="215">
        <f ca="1">IFERROR((BG31/B31)/BF31,0)</f>
        <v>0</v>
      </c>
      <c r="BI31" s="61">
        <f t="shared" ref="BI31:BI34" si="20">H31</f>
        <v>0</v>
      </c>
      <c r="BJ31" s="218">
        <f t="shared" ca="1" si="18"/>
        <v>0</v>
      </c>
      <c r="BK31" s="216">
        <f t="shared" ca="1" si="12"/>
        <v>0</v>
      </c>
      <c r="BL31" s="219">
        <f t="shared" ref="BL31:BL34" ca="1" si="21">SUMIFS(V31:AZ31,$V$6:$AZ$6,"пл")</f>
        <v>0</v>
      </c>
      <c r="BM31" s="220">
        <f t="shared" ca="1" si="14"/>
        <v>0</v>
      </c>
      <c r="BN31" s="221">
        <f t="shared" ca="1" si="15"/>
        <v>0</v>
      </c>
    </row>
    <row r="32" spans="1:66" s="6" customFormat="1" x14ac:dyDescent="0.25">
      <c r="A32" s="236"/>
      <c r="B32" s="357"/>
      <c r="C32" s="386"/>
      <c r="D32" s="93"/>
      <c r="E32" s="93"/>
      <c r="F32" s="93"/>
      <c r="G32" s="394"/>
      <c r="H32" s="133"/>
      <c r="I32" s="88">
        <f t="shared" si="3"/>
        <v>0</v>
      </c>
      <c r="J32" s="83">
        <f t="shared" si="4"/>
        <v>0</v>
      </c>
      <c r="K32" s="34">
        <f t="shared" si="16"/>
        <v>0</v>
      </c>
      <c r="L32" s="5">
        <f t="shared" si="1"/>
        <v>0</v>
      </c>
      <c r="M32" s="61"/>
      <c r="N32" s="70"/>
      <c r="O32" s="71" t="str">
        <f t="shared" si="17"/>
        <v/>
      </c>
      <c r="P32" s="68">
        <f>Q32*C32</f>
        <v>0</v>
      </c>
      <c r="Q32" s="68">
        <f t="shared" si="5"/>
        <v>1E-4</v>
      </c>
      <c r="R32" s="66"/>
      <c r="S32" s="66">
        <f t="shared" si="6"/>
        <v>0</v>
      </c>
      <c r="T32" s="67">
        <f t="shared" si="7"/>
        <v>0</v>
      </c>
      <c r="U32" s="26">
        <f t="shared" si="8"/>
        <v>0</v>
      </c>
      <c r="V32" s="44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311">
        <f t="shared" ca="1" si="9"/>
        <v>0</v>
      </c>
      <c r="BB32" s="312">
        <f t="shared" ca="1" si="10"/>
        <v>0</v>
      </c>
      <c r="BD32" s="61">
        <f>IFERROR(SUM(D32:F32)/$L$4,0)</f>
        <v>0</v>
      </c>
      <c r="BE32" s="214"/>
      <c r="BF32" s="305">
        <f t="shared" ca="1" si="11"/>
        <v>0</v>
      </c>
      <c r="BG32" s="217"/>
      <c r="BH32" s="215">
        <f ca="1">IFERROR((BG32/B32)/BF32,0)</f>
        <v>0</v>
      </c>
      <c r="BI32" s="61">
        <f t="shared" si="20"/>
        <v>0</v>
      </c>
      <c r="BJ32" s="218">
        <f t="shared" ca="1" si="18"/>
        <v>0</v>
      </c>
      <c r="BK32" s="216">
        <f t="shared" ca="1" si="12"/>
        <v>0</v>
      </c>
      <c r="BL32" s="219">
        <f t="shared" ca="1" si="21"/>
        <v>0</v>
      </c>
      <c r="BM32" s="220">
        <f t="shared" ca="1" si="14"/>
        <v>0</v>
      </c>
      <c r="BN32" s="221">
        <f t="shared" ca="1" si="15"/>
        <v>0</v>
      </c>
    </row>
    <row r="33" spans="1:66" s="6" customFormat="1" x14ac:dyDescent="0.25">
      <c r="A33" s="236"/>
      <c r="B33" s="357"/>
      <c r="C33" s="386"/>
      <c r="D33" s="93"/>
      <c r="E33" s="93"/>
      <c r="F33" s="93"/>
      <c r="G33" s="394"/>
      <c r="H33" s="133"/>
      <c r="I33" s="88">
        <f t="shared" si="3"/>
        <v>0</v>
      </c>
      <c r="J33" s="83">
        <f t="shared" si="4"/>
        <v>0</v>
      </c>
      <c r="K33" s="34">
        <f t="shared" si="16"/>
        <v>0</v>
      </c>
      <c r="L33" s="5">
        <f t="shared" si="1"/>
        <v>0</v>
      </c>
      <c r="M33" s="61"/>
      <c r="N33" s="70"/>
      <c r="O33" s="71" t="str">
        <f t="shared" si="17"/>
        <v/>
      </c>
      <c r="P33" s="68">
        <f>Q33*C33</f>
        <v>0</v>
      </c>
      <c r="Q33" s="68">
        <f t="shared" si="5"/>
        <v>1E-4</v>
      </c>
      <c r="R33" s="66"/>
      <c r="S33" s="66">
        <f t="shared" si="6"/>
        <v>0</v>
      </c>
      <c r="T33" s="67">
        <f t="shared" si="7"/>
        <v>0</v>
      </c>
      <c r="U33" s="26">
        <f t="shared" si="8"/>
        <v>0</v>
      </c>
      <c r="V33" s="44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311">
        <f t="shared" ca="1" si="9"/>
        <v>0</v>
      </c>
      <c r="BB33" s="312">
        <f t="shared" ca="1" si="10"/>
        <v>0</v>
      </c>
      <c r="BD33" s="61">
        <f>IFERROR(SUM(D33:F33)/$L$4,0)</f>
        <v>0</v>
      </c>
      <c r="BE33" s="214"/>
      <c r="BF33" s="305">
        <f t="shared" ca="1" si="11"/>
        <v>0</v>
      </c>
      <c r="BG33" s="217"/>
      <c r="BH33" s="215">
        <f ca="1">IFERROR((BG33/B33)/BF33,0)</f>
        <v>0</v>
      </c>
      <c r="BI33" s="61">
        <f t="shared" si="20"/>
        <v>0</v>
      </c>
      <c r="BJ33" s="218">
        <f t="shared" ca="1" si="18"/>
        <v>0</v>
      </c>
      <c r="BK33" s="216">
        <f t="shared" ca="1" si="12"/>
        <v>0</v>
      </c>
      <c r="BL33" s="219">
        <f t="shared" ca="1" si="21"/>
        <v>0</v>
      </c>
      <c r="BM33" s="220">
        <f t="shared" ca="1" si="14"/>
        <v>0</v>
      </c>
      <c r="BN33" s="221">
        <f t="shared" ca="1" si="15"/>
        <v>0</v>
      </c>
    </row>
    <row r="34" spans="1:66" s="6" customFormat="1" ht="15.75" thickBot="1" x14ac:dyDescent="0.3">
      <c r="A34" s="41"/>
      <c r="B34" s="357"/>
      <c r="C34" s="388"/>
      <c r="D34" s="95"/>
      <c r="E34" s="95"/>
      <c r="F34" s="95"/>
      <c r="G34" s="395"/>
      <c r="H34" s="137"/>
      <c r="I34" s="88">
        <f t="shared" si="3"/>
        <v>0</v>
      </c>
      <c r="J34" s="85">
        <f t="shared" si="4"/>
        <v>0</v>
      </c>
      <c r="K34" s="36">
        <f t="shared" si="16"/>
        <v>0</v>
      </c>
      <c r="L34" s="13">
        <f t="shared" si="1"/>
        <v>0</v>
      </c>
      <c r="M34" s="63"/>
      <c r="N34" s="72"/>
      <c r="O34" s="73" t="str">
        <f t="shared" si="17"/>
        <v/>
      </c>
      <c r="P34" s="68">
        <f>Q34*C34</f>
        <v>0</v>
      </c>
      <c r="Q34" s="68">
        <f t="shared" si="5"/>
        <v>1E-4</v>
      </c>
      <c r="R34" s="66"/>
      <c r="S34" s="66">
        <f t="shared" si="6"/>
        <v>0</v>
      </c>
      <c r="T34" s="67">
        <f t="shared" si="7"/>
        <v>0</v>
      </c>
      <c r="U34" s="26">
        <f t="shared" si="8"/>
        <v>0</v>
      </c>
      <c r="V34" s="44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313">
        <f t="shared" ca="1" si="9"/>
        <v>0</v>
      </c>
      <c r="BB34" s="314">
        <f t="shared" ca="1" si="10"/>
        <v>0</v>
      </c>
      <c r="BD34" s="61">
        <f>IFERROR(SUM(D34:F34)/$L$4,0)</f>
        <v>0</v>
      </c>
      <c r="BE34" s="242"/>
      <c r="BF34" s="509">
        <f t="shared" ca="1" si="11"/>
        <v>0</v>
      </c>
      <c r="BG34" s="217"/>
      <c r="BH34" s="215">
        <f ca="1">IFERROR((BG34/B34)/BF34,0)</f>
        <v>0</v>
      </c>
      <c r="BI34" s="61">
        <f t="shared" si="20"/>
        <v>0</v>
      </c>
      <c r="BJ34" s="512">
        <f t="shared" ca="1" si="18"/>
        <v>0</v>
      </c>
      <c r="BK34" s="241">
        <f t="shared" ca="1" si="12"/>
        <v>0</v>
      </c>
      <c r="BL34" s="219">
        <f t="shared" ca="1" si="21"/>
        <v>0</v>
      </c>
      <c r="BM34" s="243">
        <f t="shared" ca="1" si="14"/>
        <v>0</v>
      </c>
      <c r="BN34" s="244">
        <f t="shared" ca="1" si="15"/>
        <v>0</v>
      </c>
    </row>
    <row r="35" spans="1:66" s="1" customFormat="1" ht="15.75" thickBot="1" x14ac:dyDescent="0.3">
      <c r="A35" s="28" t="s">
        <v>3</v>
      </c>
      <c r="B35" s="82"/>
      <c r="C35" s="33"/>
      <c r="D35" s="82"/>
      <c r="E35" s="82"/>
      <c r="F35" s="82"/>
      <c r="G35" s="136"/>
      <c r="H35" s="136"/>
      <c r="I35" s="86"/>
      <c r="J35" s="28">
        <f>SUM(J8:J34)</f>
        <v>0</v>
      </c>
      <c r="K35" s="37">
        <f t="shared" si="16"/>
        <v>0</v>
      </c>
      <c r="L35" s="32">
        <f>IFERROR(ROUND(K35/$L$2,0),0)</f>
        <v>0</v>
      </c>
      <c r="M35" s="33">
        <f>IFERROR(ROUND(L35/L1,0),0)</f>
        <v>0</v>
      </c>
      <c r="N35" s="74">
        <f>SUM(N8:N34)</f>
        <v>0</v>
      </c>
      <c r="O35" s="75" t="str">
        <f t="shared" si="17"/>
        <v/>
      </c>
      <c r="U35" s="31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B35" s="331"/>
    </row>
    <row r="36" spans="1:66" s="31" customFormat="1" x14ac:dyDescent="0.25">
      <c r="A36" s="417" t="s">
        <v>89</v>
      </c>
      <c r="B36" s="418"/>
      <c r="C36" s="418"/>
      <c r="D36" s="418"/>
      <c r="E36" s="418"/>
      <c r="F36" s="419"/>
      <c r="G36" s="132"/>
      <c r="H36" s="132"/>
      <c r="I36" s="30"/>
      <c r="J36" s="29">
        <f>K36*L3</f>
        <v>4774</v>
      </c>
      <c r="K36" s="29">
        <f>L36*L2</f>
        <v>1364</v>
      </c>
      <c r="L36" s="29">
        <f>M36*L1</f>
        <v>124</v>
      </c>
      <c r="M36" s="53">
        <f>L4/6*4</f>
        <v>20.666666666666668</v>
      </c>
      <c r="N36" s="1"/>
      <c r="O36" s="1"/>
      <c r="U36" s="89" t="s">
        <v>97</v>
      </c>
      <c r="V36" s="90">
        <f>V41-V39</f>
        <v>4</v>
      </c>
      <c r="W36" s="90">
        <f t="shared" ref="W36:AZ36" si="22">W41-W39</f>
        <v>4</v>
      </c>
      <c r="X36" s="90">
        <f t="shared" si="22"/>
        <v>4</v>
      </c>
      <c r="Y36" s="90">
        <f t="shared" si="22"/>
        <v>4.5</v>
      </c>
      <c r="Z36" s="90">
        <f t="shared" si="22"/>
        <v>4.5</v>
      </c>
      <c r="AA36" s="90">
        <f t="shared" si="22"/>
        <v>4.5</v>
      </c>
      <c r="AB36" s="90">
        <f t="shared" si="22"/>
        <v>5.5</v>
      </c>
      <c r="AC36" s="90">
        <f t="shared" si="22"/>
        <v>4.5</v>
      </c>
      <c r="AD36" s="90">
        <f t="shared" si="22"/>
        <v>3</v>
      </c>
      <c r="AE36" s="90">
        <f t="shared" si="22"/>
        <v>4</v>
      </c>
      <c r="AF36" s="90">
        <f t="shared" si="22"/>
        <v>4.5</v>
      </c>
      <c r="AG36" s="90">
        <f t="shared" si="22"/>
        <v>4.5</v>
      </c>
      <c r="AH36" s="90">
        <f t="shared" si="22"/>
        <v>5.5</v>
      </c>
      <c r="AI36" s="90">
        <f t="shared" si="22"/>
        <v>5.5</v>
      </c>
      <c r="AJ36" s="90">
        <f t="shared" si="22"/>
        <v>3.5</v>
      </c>
      <c r="AK36" s="90">
        <f t="shared" si="22"/>
        <v>3</v>
      </c>
      <c r="AL36" s="90">
        <f t="shared" si="22"/>
        <v>4</v>
      </c>
      <c r="AM36" s="90">
        <f t="shared" si="22"/>
        <v>4.5</v>
      </c>
      <c r="AN36" s="90">
        <f t="shared" si="22"/>
        <v>5.5</v>
      </c>
      <c r="AO36" s="90">
        <f t="shared" si="22"/>
        <v>5.5</v>
      </c>
      <c r="AP36" s="90">
        <f t="shared" si="22"/>
        <v>4.5</v>
      </c>
      <c r="AQ36" s="90">
        <f t="shared" si="22"/>
        <v>3.5</v>
      </c>
      <c r="AR36" s="90">
        <f t="shared" si="22"/>
        <v>3</v>
      </c>
      <c r="AS36" s="90">
        <f t="shared" si="22"/>
        <v>4</v>
      </c>
      <c r="AT36" s="90">
        <f t="shared" si="22"/>
        <v>5.5</v>
      </c>
      <c r="AU36" s="90">
        <f t="shared" si="22"/>
        <v>5.5</v>
      </c>
      <c r="AV36" s="90">
        <f t="shared" si="22"/>
        <v>4.5</v>
      </c>
      <c r="AW36" s="90">
        <f t="shared" si="22"/>
        <v>4.5</v>
      </c>
      <c r="AX36" s="90">
        <f t="shared" si="22"/>
        <v>3.5</v>
      </c>
      <c r="AY36" s="90">
        <f t="shared" si="22"/>
        <v>4</v>
      </c>
      <c r="AZ36" s="90">
        <f t="shared" si="22"/>
        <v>0</v>
      </c>
      <c r="BA36" s="90">
        <f>SUM(V36:AZ36)</f>
        <v>131</v>
      </c>
      <c r="BB36" s="333"/>
    </row>
    <row r="37" spans="1:66" s="1" customFormat="1" ht="15.75" thickBot="1" x14ac:dyDescent="0.3">
      <c r="B37" s="331"/>
      <c r="G37" s="331"/>
      <c r="H37" s="1" t="s">
        <v>253</v>
      </c>
      <c r="L37" s="147">
        <f>IFERROR(L35/M1,0)</f>
        <v>0</v>
      </c>
      <c r="BB37" s="331"/>
    </row>
    <row r="38" spans="1:66" s="2" customFormat="1" ht="16.5" thickTop="1" thickBot="1" x14ac:dyDescent="0.3">
      <c r="U38" s="17" t="s">
        <v>67</v>
      </c>
      <c r="V38" s="91">
        <f>SUMPRODUCT(V8:V34/$Q$8:$Q$34)</f>
        <v>0</v>
      </c>
      <c r="W38" s="91">
        <f t="shared" ref="W38:AZ38" si="23">SUMPRODUCT(W8:W34/$Q$8:$Q$34)</f>
        <v>0</v>
      </c>
      <c r="X38" s="91">
        <f t="shared" si="23"/>
        <v>0</v>
      </c>
      <c r="Y38" s="91">
        <f t="shared" si="23"/>
        <v>0</v>
      </c>
      <c r="Z38" s="91">
        <f>SUMPRODUCT(Z8:Z34/$Q$8:$Q$34)</f>
        <v>0</v>
      </c>
      <c r="AA38" s="91">
        <f t="shared" si="23"/>
        <v>0</v>
      </c>
      <c r="AB38" s="91">
        <f t="shared" si="23"/>
        <v>0</v>
      </c>
      <c r="AC38" s="91">
        <f t="shared" si="23"/>
        <v>0</v>
      </c>
      <c r="AD38" s="91">
        <f t="shared" si="23"/>
        <v>0</v>
      </c>
      <c r="AE38" s="91">
        <f t="shared" si="23"/>
        <v>0</v>
      </c>
      <c r="AF38" s="91">
        <f t="shared" si="23"/>
        <v>0</v>
      </c>
      <c r="AG38" s="91">
        <f t="shared" si="23"/>
        <v>0</v>
      </c>
      <c r="AH38" s="91">
        <f t="shared" si="23"/>
        <v>0</v>
      </c>
      <c r="AI38" s="91">
        <f t="shared" si="23"/>
        <v>0</v>
      </c>
      <c r="AJ38" s="91">
        <f t="shared" si="23"/>
        <v>0</v>
      </c>
      <c r="AK38" s="91">
        <f t="shared" si="23"/>
        <v>0</v>
      </c>
      <c r="AL38" s="91">
        <f t="shared" si="23"/>
        <v>0</v>
      </c>
      <c r="AM38" s="91">
        <f t="shared" si="23"/>
        <v>0</v>
      </c>
      <c r="AN38" s="91">
        <f t="shared" si="23"/>
        <v>0</v>
      </c>
      <c r="AO38" s="91">
        <f t="shared" si="23"/>
        <v>0</v>
      </c>
      <c r="AP38" s="91">
        <f t="shared" si="23"/>
        <v>0</v>
      </c>
      <c r="AQ38" s="91">
        <f t="shared" si="23"/>
        <v>0</v>
      </c>
      <c r="AR38" s="91">
        <f t="shared" si="23"/>
        <v>0</v>
      </c>
      <c r="AS38" s="91">
        <f t="shared" si="23"/>
        <v>0</v>
      </c>
      <c r="AT38" s="91">
        <f t="shared" si="23"/>
        <v>0</v>
      </c>
      <c r="AU38" s="91">
        <f t="shared" si="23"/>
        <v>0</v>
      </c>
      <c r="AV38" s="91">
        <f t="shared" si="23"/>
        <v>0</v>
      </c>
      <c r="AW38" s="91">
        <f t="shared" si="23"/>
        <v>0</v>
      </c>
      <c r="AX38" s="91">
        <f t="shared" si="23"/>
        <v>0</v>
      </c>
      <c r="AY38" s="91">
        <f t="shared" si="23"/>
        <v>0</v>
      </c>
      <c r="AZ38" s="91">
        <f t="shared" si="23"/>
        <v>0</v>
      </c>
      <c r="BA38" s="257">
        <f>SUM(V38:AZ38)</f>
        <v>0</v>
      </c>
      <c r="BB38" s="291"/>
    </row>
    <row r="39" spans="1:66" s="2" customFormat="1" ht="15.75" thickBot="1" x14ac:dyDescent="0.3">
      <c r="U39" s="22" t="s">
        <v>68</v>
      </c>
      <c r="V39" s="27">
        <f>ROUND(V38/$L$2,1)</f>
        <v>0</v>
      </c>
      <c r="W39" s="23">
        <f t="shared" ref="W39:AZ39" si="24">ROUND(W38/$L$2,1)</f>
        <v>0</v>
      </c>
      <c r="X39" s="23">
        <f>ROUND(X38/$L$2,1)</f>
        <v>0</v>
      </c>
      <c r="Y39" s="23">
        <f t="shared" si="24"/>
        <v>0</v>
      </c>
      <c r="Z39" s="23">
        <f t="shared" si="24"/>
        <v>0</v>
      </c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23">
        <f t="shared" si="24"/>
        <v>0</v>
      </c>
      <c r="AE39" s="23">
        <f t="shared" si="24"/>
        <v>0</v>
      </c>
      <c r="AF39" s="23">
        <f t="shared" si="24"/>
        <v>0</v>
      </c>
      <c r="AG39" s="23">
        <f t="shared" si="24"/>
        <v>0</v>
      </c>
      <c r="AH39" s="23">
        <f t="shared" si="24"/>
        <v>0</v>
      </c>
      <c r="AI39" s="23">
        <f t="shared" si="24"/>
        <v>0</v>
      </c>
      <c r="AJ39" s="23">
        <f t="shared" si="24"/>
        <v>0</v>
      </c>
      <c r="AK39" s="23">
        <f t="shared" si="24"/>
        <v>0</v>
      </c>
      <c r="AL39" s="23">
        <f t="shared" si="24"/>
        <v>0</v>
      </c>
      <c r="AM39" s="23">
        <f t="shared" si="24"/>
        <v>0</v>
      </c>
      <c r="AN39" s="23">
        <f t="shared" si="24"/>
        <v>0</v>
      </c>
      <c r="AO39" s="23">
        <f t="shared" si="24"/>
        <v>0</v>
      </c>
      <c r="AP39" s="23">
        <f t="shared" si="24"/>
        <v>0</v>
      </c>
      <c r="AQ39" s="23">
        <f t="shared" si="24"/>
        <v>0</v>
      </c>
      <c r="AR39" s="23">
        <f t="shared" si="24"/>
        <v>0</v>
      </c>
      <c r="AS39" s="23">
        <f t="shared" si="24"/>
        <v>0</v>
      </c>
      <c r="AT39" s="23">
        <f t="shared" si="24"/>
        <v>0</v>
      </c>
      <c r="AU39" s="23">
        <f t="shared" si="24"/>
        <v>0</v>
      </c>
      <c r="AV39" s="23">
        <f t="shared" si="24"/>
        <v>0</v>
      </c>
      <c r="AW39" s="23">
        <f t="shared" si="24"/>
        <v>0</v>
      </c>
      <c r="AX39" s="23">
        <f t="shared" si="24"/>
        <v>0</v>
      </c>
      <c r="AY39" s="23">
        <f t="shared" si="24"/>
        <v>0</v>
      </c>
      <c r="AZ39" s="24">
        <f t="shared" si="24"/>
        <v>0</v>
      </c>
      <c r="BA39" s="260">
        <f>SUM(V39:AZ39)</f>
        <v>0</v>
      </c>
      <c r="BB39" s="291"/>
    </row>
    <row r="40" spans="1:66" s="2" customFormat="1" ht="15.75" thickBot="1" x14ac:dyDescent="0.3">
      <c r="A40" s="12"/>
      <c r="B40" s="12"/>
      <c r="U40" s="21" t="s">
        <v>69</v>
      </c>
      <c r="V40" s="21" t="str">
        <f>IF(V39=0, "",IF(V39&gt;V41, "!!!", "ок"))</f>
        <v/>
      </c>
      <c r="W40" s="21" t="str">
        <f t="shared" ref="W40:AZ40" si="25">IF(W39=0, "",IF(W39&gt;W41, "!!!", "ок"))</f>
        <v/>
      </c>
      <c r="X40" s="21" t="str">
        <f t="shared" si="25"/>
        <v/>
      </c>
      <c r="Y40" s="21" t="str">
        <f t="shared" si="25"/>
        <v/>
      </c>
      <c r="Z40" s="21" t="str">
        <f t="shared" si="25"/>
        <v/>
      </c>
      <c r="AA40" s="21" t="str">
        <f t="shared" si="25"/>
        <v/>
      </c>
      <c r="AB40" s="21" t="str">
        <f t="shared" si="25"/>
        <v/>
      </c>
      <c r="AC40" s="21" t="str">
        <f t="shared" si="25"/>
        <v/>
      </c>
      <c r="AD40" s="21" t="str">
        <f t="shared" si="25"/>
        <v/>
      </c>
      <c r="AE40" s="21" t="str">
        <f t="shared" si="25"/>
        <v/>
      </c>
      <c r="AF40" s="21" t="str">
        <f t="shared" si="25"/>
        <v/>
      </c>
      <c r="AG40" s="21" t="str">
        <f t="shared" si="25"/>
        <v/>
      </c>
      <c r="AH40" s="21" t="str">
        <f t="shared" si="25"/>
        <v/>
      </c>
      <c r="AI40" s="21" t="str">
        <f t="shared" si="25"/>
        <v/>
      </c>
      <c r="AJ40" s="21" t="str">
        <f t="shared" si="25"/>
        <v/>
      </c>
      <c r="AK40" s="21" t="str">
        <f t="shared" si="25"/>
        <v/>
      </c>
      <c r="AL40" s="21" t="str">
        <f t="shared" si="25"/>
        <v/>
      </c>
      <c r="AM40" s="21" t="str">
        <f t="shared" si="25"/>
        <v/>
      </c>
      <c r="AN40" s="21" t="str">
        <f t="shared" si="25"/>
        <v/>
      </c>
      <c r="AO40" s="21" t="str">
        <f t="shared" si="25"/>
        <v/>
      </c>
      <c r="AP40" s="21" t="str">
        <f t="shared" si="25"/>
        <v/>
      </c>
      <c r="AQ40" s="21" t="str">
        <f t="shared" si="25"/>
        <v/>
      </c>
      <c r="AR40" s="21" t="str">
        <f t="shared" si="25"/>
        <v/>
      </c>
      <c r="AS40" s="21" t="str">
        <f t="shared" si="25"/>
        <v/>
      </c>
      <c r="AT40" s="21" t="str">
        <f t="shared" si="25"/>
        <v/>
      </c>
      <c r="AU40" s="21" t="str">
        <f t="shared" si="25"/>
        <v/>
      </c>
      <c r="AV40" s="21" t="str">
        <f t="shared" si="25"/>
        <v/>
      </c>
      <c r="AW40" s="21" t="str">
        <f t="shared" si="25"/>
        <v/>
      </c>
      <c r="AX40" s="21" t="str">
        <f t="shared" si="25"/>
        <v/>
      </c>
      <c r="AY40" s="21" t="str">
        <f t="shared" si="25"/>
        <v/>
      </c>
      <c r="AZ40" s="21" t="str">
        <f t="shared" si="25"/>
        <v/>
      </c>
      <c r="BA40" s="258"/>
      <c r="BB40" s="293"/>
    </row>
    <row r="41" spans="1:66" s="3" customFormat="1" ht="29.25" customHeight="1" thickBot="1" x14ac:dyDescent="0.3">
      <c r="A41" s="52" t="s">
        <v>76</v>
      </c>
      <c r="B41" s="365"/>
      <c r="C41" s="52"/>
      <c r="D41" s="52"/>
      <c r="E41" s="52"/>
      <c r="F41" s="52"/>
      <c r="G41" s="52"/>
      <c r="H41" s="52"/>
      <c r="I41" s="52"/>
      <c r="J41" s="52" t="s">
        <v>10</v>
      </c>
      <c r="K41" s="52" t="s">
        <v>5</v>
      </c>
      <c r="L41" s="52" t="s">
        <v>6</v>
      </c>
      <c r="M41" s="52" t="s">
        <v>79</v>
      </c>
      <c r="N41" s="2"/>
      <c r="O41" s="2"/>
      <c r="U41" s="18" t="s">
        <v>66</v>
      </c>
      <c r="V41" s="19">
        <f>SUM(V42:V49)</f>
        <v>4</v>
      </c>
      <c r="W41" s="19">
        <f t="shared" ref="W41:AY41" si="26">SUM(W42:W49)</f>
        <v>4</v>
      </c>
      <c r="X41" s="19">
        <f t="shared" si="26"/>
        <v>4</v>
      </c>
      <c r="Y41" s="19">
        <f t="shared" si="26"/>
        <v>4.5</v>
      </c>
      <c r="Z41" s="19">
        <f t="shared" si="26"/>
        <v>4.5</v>
      </c>
      <c r="AA41" s="19">
        <f t="shared" si="26"/>
        <v>4.5</v>
      </c>
      <c r="AB41" s="19">
        <f t="shared" si="26"/>
        <v>5.5</v>
      </c>
      <c r="AC41" s="19">
        <f t="shared" si="26"/>
        <v>4.5</v>
      </c>
      <c r="AD41" s="19">
        <f t="shared" si="26"/>
        <v>3</v>
      </c>
      <c r="AE41" s="19">
        <f t="shared" si="26"/>
        <v>4</v>
      </c>
      <c r="AF41" s="19">
        <f t="shared" si="26"/>
        <v>4.5</v>
      </c>
      <c r="AG41" s="19">
        <f t="shared" si="26"/>
        <v>4.5</v>
      </c>
      <c r="AH41" s="19">
        <f t="shared" si="26"/>
        <v>5.5</v>
      </c>
      <c r="AI41" s="19">
        <f t="shared" si="26"/>
        <v>5.5</v>
      </c>
      <c r="AJ41" s="19">
        <f t="shared" si="26"/>
        <v>3.5</v>
      </c>
      <c r="AK41" s="19">
        <f t="shared" si="26"/>
        <v>3</v>
      </c>
      <c r="AL41" s="19">
        <f t="shared" si="26"/>
        <v>4</v>
      </c>
      <c r="AM41" s="19">
        <f t="shared" si="26"/>
        <v>4.5</v>
      </c>
      <c r="AN41" s="19">
        <f t="shared" si="26"/>
        <v>5.5</v>
      </c>
      <c r="AO41" s="19">
        <f t="shared" si="26"/>
        <v>5.5</v>
      </c>
      <c r="AP41" s="19">
        <f t="shared" si="26"/>
        <v>4.5</v>
      </c>
      <c r="AQ41" s="19">
        <f t="shared" si="26"/>
        <v>3.5</v>
      </c>
      <c r="AR41" s="19">
        <f t="shared" si="26"/>
        <v>3</v>
      </c>
      <c r="AS41" s="19">
        <f t="shared" si="26"/>
        <v>4</v>
      </c>
      <c r="AT41" s="19">
        <f t="shared" si="26"/>
        <v>5.5</v>
      </c>
      <c r="AU41" s="19">
        <f t="shared" si="26"/>
        <v>5.5</v>
      </c>
      <c r="AV41" s="19">
        <f t="shared" si="26"/>
        <v>4.5</v>
      </c>
      <c r="AW41" s="19">
        <f t="shared" si="26"/>
        <v>4.5</v>
      </c>
      <c r="AX41" s="19">
        <f t="shared" si="26"/>
        <v>3.5</v>
      </c>
      <c r="AY41" s="19">
        <f t="shared" si="26"/>
        <v>4</v>
      </c>
      <c r="AZ41" s="20"/>
      <c r="BA41" s="261">
        <f>SUM(V41:AZ41)</f>
        <v>131</v>
      </c>
      <c r="BB41" s="292"/>
    </row>
    <row r="42" spans="1:66" s="2" customFormat="1" x14ac:dyDescent="0.25">
      <c r="A42" s="8" t="s">
        <v>77</v>
      </c>
      <c r="B42" s="366"/>
      <c r="C42" s="8"/>
      <c r="D42" s="8"/>
      <c r="E42" s="8"/>
      <c r="F42" s="8"/>
      <c r="G42" s="8"/>
      <c r="H42" s="8"/>
      <c r="I42" s="8"/>
      <c r="J42" s="8">
        <f>N35</f>
        <v>0</v>
      </c>
      <c r="K42" s="8">
        <f>L42*L2</f>
        <v>0</v>
      </c>
      <c r="L42" s="50"/>
      <c r="M42" s="8">
        <f>IFERROR(J42/K42,0)</f>
        <v>0</v>
      </c>
      <c r="U42" s="96" t="s">
        <v>270</v>
      </c>
      <c r="V42" s="272" t="s">
        <v>112</v>
      </c>
      <c r="W42" s="272" t="s">
        <v>112</v>
      </c>
      <c r="X42" s="273">
        <v>1</v>
      </c>
      <c r="Y42" s="273">
        <v>1</v>
      </c>
      <c r="Z42" s="273">
        <v>1</v>
      </c>
      <c r="AA42" s="273">
        <v>1</v>
      </c>
      <c r="AB42" s="273">
        <v>1</v>
      </c>
      <c r="AC42" s="272" t="s">
        <v>112</v>
      </c>
      <c r="AD42" s="272" t="s">
        <v>112</v>
      </c>
      <c r="AE42" s="273">
        <v>1</v>
      </c>
      <c r="AF42" s="273">
        <v>1</v>
      </c>
      <c r="AG42" s="273">
        <v>1</v>
      </c>
      <c r="AH42" s="273">
        <v>1</v>
      </c>
      <c r="AI42" s="273">
        <v>1</v>
      </c>
      <c r="AJ42" s="272" t="s">
        <v>112</v>
      </c>
      <c r="AK42" s="272" t="s">
        <v>112</v>
      </c>
      <c r="AL42" s="273">
        <v>1</v>
      </c>
      <c r="AM42" s="273">
        <v>1</v>
      </c>
      <c r="AN42" s="273">
        <v>1</v>
      </c>
      <c r="AO42" s="273">
        <v>1</v>
      </c>
      <c r="AP42" s="273">
        <v>1</v>
      </c>
      <c r="AQ42" s="272" t="s">
        <v>112</v>
      </c>
      <c r="AR42" s="272" t="s">
        <v>112</v>
      </c>
      <c r="AS42" s="273">
        <v>1</v>
      </c>
      <c r="AT42" s="273">
        <v>1</v>
      </c>
      <c r="AU42" s="273">
        <v>1</v>
      </c>
      <c r="AV42" s="273">
        <v>1</v>
      </c>
      <c r="AW42" s="273">
        <v>1</v>
      </c>
      <c r="AX42" s="272" t="s">
        <v>112</v>
      </c>
      <c r="AY42" s="273">
        <v>1</v>
      </c>
      <c r="AZ42" s="274"/>
      <c r="BA42" s="259">
        <f>SUM(V42:AZ42)</f>
        <v>21</v>
      </c>
      <c r="BB42" s="292"/>
    </row>
    <row r="43" spans="1:66" s="2" customFormat="1" x14ac:dyDescent="0.25">
      <c r="A43" s="9" t="s">
        <v>7</v>
      </c>
      <c r="B43" s="367"/>
      <c r="C43" s="9"/>
      <c r="D43" s="9"/>
      <c r="E43" s="9"/>
      <c r="F43" s="9"/>
      <c r="G43" s="9"/>
      <c r="H43" s="9"/>
      <c r="I43" s="9"/>
      <c r="J43" s="10">
        <f>IFERROR(J42/J35,0)</f>
        <v>0</v>
      </c>
      <c r="K43" s="10">
        <f>IFERROR(K42/K35,0)</f>
        <v>0</v>
      </c>
      <c r="L43" s="10">
        <f>IFERROR(L42/L35,0)</f>
        <v>0</v>
      </c>
      <c r="M43" s="10">
        <f>IFERROR(M42/L3,0)</f>
        <v>0</v>
      </c>
      <c r="U43" s="96" t="s">
        <v>271</v>
      </c>
      <c r="V43" s="272" t="s">
        <v>112</v>
      </c>
      <c r="W43" s="272" t="s">
        <v>112</v>
      </c>
      <c r="X43" s="273">
        <v>1</v>
      </c>
      <c r="Y43" s="273">
        <v>1</v>
      </c>
      <c r="Z43" s="273">
        <v>1</v>
      </c>
      <c r="AA43" s="273">
        <v>1</v>
      </c>
      <c r="AB43" s="272" t="s">
        <v>112</v>
      </c>
      <c r="AC43" s="272" t="s">
        <v>112</v>
      </c>
      <c r="AD43" s="273">
        <v>1</v>
      </c>
      <c r="AE43" s="273">
        <v>1</v>
      </c>
      <c r="AF43" s="273">
        <v>1</v>
      </c>
      <c r="AG43" s="273">
        <v>1</v>
      </c>
      <c r="AH43" s="272" t="s">
        <v>112</v>
      </c>
      <c r="AI43" s="272" t="s">
        <v>112</v>
      </c>
      <c r="AJ43" s="273">
        <v>1</v>
      </c>
      <c r="AK43" s="273">
        <v>1</v>
      </c>
      <c r="AL43" s="273">
        <v>1</v>
      </c>
      <c r="AM43" s="273">
        <v>1</v>
      </c>
      <c r="AN43" s="272" t="s">
        <v>112</v>
      </c>
      <c r="AO43" s="272" t="s">
        <v>112</v>
      </c>
      <c r="AP43" s="273">
        <v>1</v>
      </c>
      <c r="AQ43" s="273">
        <v>1</v>
      </c>
      <c r="AR43" s="273">
        <v>1</v>
      </c>
      <c r="AS43" s="273">
        <v>1</v>
      </c>
      <c r="AT43" s="272" t="s">
        <v>112</v>
      </c>
      <c r="AU43" s="272" t="s">
        <v>112</v>
      </c>
      <c r="AV43" s="273">
        <v>1</v>
      </c>
      <c r="AW43" s="273">
        <v>1</v>
      </c>
      <c r="AX43" s="273">
        <v>1</v>
      </c>
      <c r="AY43" s="273">
        <v>1</v>
      </c>
      <c r="AZ43" s="275"/>
      <c r="BA43" s="254">
        <f t="shared" ref="BA43:BA49" si="27">SUM(V43:AZ43)</f>
        <v>20</v>
      </c>
      <c r="BB43" s="292"/>
    </row>
    <row r="44" spans="1:66" s="2" customFormat="1" x14ac:dyDescent="0.25">
      <c r="U44" s="96" t="s">
        <v>272</v>
      </c>
      <c r="V44" s="273">
        <v>1</v>
      </c>
      <c r="W44" s="273">
        <v>1</v>
      </c>
      <c r="X44" s="273">
        <v>1</v>
      </c>
      <c r="Y44" s="273">
        <v>1</v>
      </c>
      <c r="Z44" s="272" t="s">
        <v>112</v>
      </c>
      <c r="AA44" s="272" t="s">
        <v>112</v>
      </c>
      <c r="AB44" s="273">
        <v>1</v>
      </c>
      <c r="AC44" s="273">
        <v>1</v>
      </c>
      <c r="AD44" s="273">
        <v>1</v>
      </c>
      <c r="AE44" s="273">
        <v>1</v>
      </c>
      <c r="AF44" s="272" t="s">
        <v>112</v>
      </c>
      <c r="AG44" s="272" t="s">
        <v>112</v>
      </c>
      <c r="AH44" s="273">
        <v>1</v>
      </c>
      <c r="AI44" s="273">
        <v>1</v>
      </c>
      <c r="AJ44" s="273">
        <v>1</v>
      </c>
      <c r="AK44" s="273">
        <v>1</v>
      </c>
      <c r="AL44" s="272" t="s">
        <v>112</v>
      </c>
      <c r="AM44" s="272" t="s">
        <v>112</v>
      </c>
      <c r="AN44" s="273">
        <v>1</v>
      </c>
      <c r="AO44" s="273">
        <v>1</v>
      </c>
      <c r="AP44" s="273">
        <v>1</v>
      </c>
      <c r="AQ44" s="273">
        <v>1</v>
      </c>
      <c r="AR44" s="272" t="s">
        <v>112</v>
      </c>
      <c r="AS44" s="272" t="s">
        <v>112</v>
      </c>
      <c r="AT44" s="273">
        <v>1</v>
      </c>
      <c r="AU44" s="273">
        <v>1</v>
      </c>
      <c r="AV44" s="273">
        <v>1</v>
      </c>
      <c r="AW44" s="273">
        <v>1</v>
      </c>
      <c r="AX44" s="272" t="s">
        <v>112</v>
      </c>
      <c r="AY44" s="272" t="s">
        <v>112</v>
      </c>
      <c r="AZ44" s="275"/>
      <c r="BA44" s="254">
        <f t="shared" si="27"/>
        <v>20</v>
      </c>
      <c r="BB44" s="292"/>
    </row>
    <row r="45" spans="1:66" s="2" customFormat="1" x14ac:dyDescent="0.25">
      <c r="U45" s="96" t="s">
        <v>273</v>
      </c>
      <c r="V45" s="273">
        <v>1</v>
      </c>
      <c r="W45" s="273">
        <v>1</v>
      </c>
      <c r="X45" s="273">
        <v>1</v>
      </c>
      <c r="Y45" s="273">
        <v>1</v>
      </c>
      <c r="Z45" s="272" t="s">
        <v>112</v>
      </c>
      <c r="AA45" s="272" t="s">
        <v>112</v>
      </c>
      <c r="AB45" s="273">
        <v>1</v>
      </c>
      <c r="AC45" s="273">
        <v>1</v>
      </c>
      <c r="AD45" s="273">
        <v>1</v>
      </c>
      <c r="AE45" s="273">
        <v>1</v>
      </c>
      <c r="AF45" s="272" t="s">
        <v>112</v>
      </c>
      <c r="AG45" s="272" t="s">
        <v>112</v>
      </c>
      <c r="AH45" s="273">
        <v>1</v>
      </c>
      <c r="AI45" s="273">
        <v>1</v>
      </c>
      <c r="AJ45" s="273">
        <v>1</v>
      </c>
      <c r="AK45" s="273">
        <v>1</v>
      </c>
      <c r="AL45" s="272" t="s">
        <v>112</v>
      </c>
      <c r="AM45" s="272" t="s">
        <v>112</v>
      </c>
      <c r="AN45" s="273">
        <v>1</v>
      </c>
      <c r="AO45" s="273">
        <v>1</v>
      </c>
      <c r="AP45" s="273">
        <v>1</v>
      </c>
      <c r="AQ45" s="273">
        <v>1</v>
      </c>
      <c r="AR45" s="272" t="s">
        <v>112</v>
      </c>
      <c r="AS45" s="272" t="s">
        <v>112</v>
      </c>
      <c r="AT45" s="273">
        <v>1</v>
      </c>
      <c r="AU45" s="273">
        <v>1</v>
      </c>
      <c r="AV45" s="273">
        <v>1</v>
      </c>
      <c r="AW45" s="273">
        <v>1</v>
      </c>
      <c r="AX45" s="272" t="s">
        <v>112</v>
      </c>
      <c r="AY45" s="272" t="s">
        <v>112</v>
      </c>
      <c r="AZ45" s="275"/>
      <c r="BA45" s="254">
        <f t="shared" si="27"/>
        <v>20</v>
      </c>
      <c r="BB45" s="292"/>
    </row>
    <row r="46" spans="1:66" x14ac:dyDescent="0.25">
      <c r="A46" s="281" t="s">
        <v>315</v>
      </c>
      <c r="B46" s="368"/>
      <c r="C46" s="281" t="s">
        <v>316</v>
      </c>
      <c r="D46" s="281" t="s">
        <v>317</v>
      </c>
      <c r="T46" s="145"/>
      <c r="U46" s="96" t="s">
        <v>274</v>
      </c>
      <c r="V46" s="276">
        <v>1</v>
      </c>
      <c r="W46" s="276">
        <v>1</v>
      </c>
      <c r="X46" s="272" t="s">
        <v>112</v>
      </c>
      <c r="Y46" s="273" t="s">
        <v>276</v>
      </c>
      <c r="Z46" s="273">
        <v>1</v>
      </c>
      <c r="AA46" s="273">
        <v>1</v>
      </c>
      <c r="AB46" s="273">
        <v>1</v>
      </c>
      <c r="AC46" s="273">
        <v>1</v>
      </c>
      <c r="AD46" s="272" t="s">
        <v>112</v>
      </c>
      <c r="AE46" s="272" t="s">
        <v>112</v>
      </c>
      <c r="AF46" s="273">
        <v>1</v>
      </c>
      <c r="AG46" s="273">
        <v>1</v>
      </c>
      <c r="AH46" s="273">
        <v>1</v>
      </c>
      <c r="AI46" s="273">
        <v>1</v>
      </c>
      <c r="AJ46" s="272" t="s">
        <v>112</v>
      </c>
      <c r="AK46" s="272" t="s">
        <v>112</v>
      </c>
      <c r="AL46" s="273">
        <v>1</v>
      </c>
      <c r="AM46" s="273">
        <v>1</v>
      </c>
      <c r="AN46" s="273">
        <v>1</v>
      </c>
      <c r="AO46" s="273">
        <v>1</v>
      </c>
      <c r="AP46" s="272" t="s">
        <v>112</v>
      </c>
      <c r="AQ46" s="272" t="s">
        <v>112</v>
      </c>
      <c r="AR46" s="273">
        <v>1</v>
      </c>
      <c r="AS46" s="273">
        <v>1</v>
      </c>
      <c r="AT46" s="273">
        <v>1</v>
      </c>
      <c r="AU46" s="273">
        <v>1</v>
      </c>
      <c r="AV46" s="272" t="s">
        <v>112</v>
      </c>
      <c r="AW46" s="272" t="s">
        <v>112</v>
      </c>
      <c r="AX46" s="273">
        <v>1</v>
      </c>
      <c r="AY46" s="273">
        <v>1</v>
      </c>
      <c r="AZ46" s="275"/>
      <c r="BA46" s="254">
        <f t="shared" si="27"/>
        <v>20</v>
      </c>
      <c r="BB46" s="292"/>
    </row>
    <row r="47" spans="1:66" x14ac:dyDescent="0.25">
      <c r="A47" s="198" t="s">
        <v>291</v>
      </c>
      <c r="B47" s="369"/>
      <c r="C47" s="282"/>
      <c r="D47" s="280">
        <f>IFERROR(C47/$M$1,"")</f>
        <v>0</v>
      </c>
      <c r="T47" s="145"/>
      <c r="U47" s="96" t="s">
        <v>275</v>
      </c>
      <c r="V47" s="276">
        <v>1</v>
      </c>
      <c r="W47" s="276">
        <v>1</v>
      </c>
      <c r="X47" s="272" t="s">
        <v>112</v>
      </c>
      <c r="Y47" s="272" t="s">
        <v>112</v>
      </c>
      <c r="Z47" s="273">
        <v>1</v>
      </c>
      <c r="AA47" s="273">
        <v>1</v>
      </c>
      <c r="AB47" s="273">
        <v>1</v>
      </c>
      <c r="AC47" s="273">
        <v>1</v>
      </c>
      <c r="AD47" s="272" t="s">
        <v>112</v>
      </c>
      <c r="AE47" s="272" t="s">
        <v>112</v>
      </c>
      <c r="AF47" s="273">
        <v>1</v>
      </c>
      <c r="AG47" s="273">
        <v>1</v>
      </c>
      <c r="AH47" s="273">
        <v>1</v>
      </c>
      <c r="AI47" s="273">
        <v>1</v>
      </c>
      <c r="AJ47" s="272" t="s">
        <v>112</v>
      </c>
      <c r="AK47" s="272" t="s">
        <v>112</v>
      </c>
      <c r="AL47" s="273">
        <v>1</v>
      </c>
      <c r="AM47" s="273">
        <v>1</v>
      </c>
      <c r="AN47" s="273">
        <v>1</v>
      </c>
      <c r="AO47" s="273">
        <v>1</v>
      </c>
      <c r="AP47" s="272" t="s">
        <v>112</v>
      </c>
      <c r="AQ47" s="272" t="s">
        <v>112</v>
      </c>
      <c r="AR47" s="273">
        <v>1</v>
      </c>
      <c r="AS47" s="273">
        <v>1</v>
      </c>
      <c r="AT47" s="273">
        <v>1</v>
      </c>
      <c r="AU47" s="273">
        <v>1</v>
      </c>
      <c r="AV47" s="272" t="s">
        <v>112</v>
      </c>
      <c r="AW47" s="272" t="s">
        <v>112</v>
      </c>
      <c r="AX47" s="273">
        <v>1</v>
      </c>
      <c r="AY47" s="273">
        <v>1</v>
      </c>
      <c r="AZ47" s="275"/>
      <c r="BA47" s="254">
        <f t="shared" si="27"/>
        <v>20</v>
      </c>
      <c r="BB47" s="292"/>
    </row>
    <row r="48" spans="1:66" s="181" customFormat="1" x14ac:dyDescent="0.25">
      <c r="A48" s="198" t="s">
        <v>292</v>
      </c>
      <c r="B48" s="369"/>
      <c r="C48" s="282"/>
      <c r="D48" s="280">
        <f>IFERROR(C48/$M$1,"")</f>
        <v>0</v>
      </c>
      <c r="G48" s="330"/>
      <c r="T48" s="145"/>
      <c r="U48" s="96" t="s">
        <v>64</v>
      </c>
      <c r="V48" s="275"/>
      <c r="W48" s="275"/>
      <c r="X48" s="275"/>
      <c r="Y48" s="275"/>
      <c r="Z48" s="275"/>
      <c r="AA48" s="275"/>
      <c r="AB48" s="272" t="s">
        <v>112</v>
      </c>
      <c r="AC48" s="272" t="s">
        <v>112</v>
      </c>
      <c r="AD48" s="277"/>
      <c r="AE48" s="277"/>
      <c r="AF48" s="277"/>
      <c r="AG48" s="277"/>
      <c r="AH48" s="272" t="s">
        <v>112</v>
      </c>
      <c r="AI48" s="272" t="s">
        <v>112</v>
      </c>
      <c r="AJ48" s="277"/>
      <c r="AK48" s="277"/>
      <c r="AL48" s="277"/>
      <c r="AM48" s="277"/>
      <c r="AN48" s="272" t="s">
        <v>112</v>
      </c>
      <c r="AO48" s="272" t="s">
        <v>112</v>
      </c>
      <c r="AP48" s="277"/>
      <c r="AQ48" s="277"/>
      <c r="AR48" s="277"/>
      <c r="AS48" s="277"/>
      <c r="AT48" s="272" t="s">
        <v>112</v>
      </c>
      <c r="AU48" s="272" t="s">
        <v>112</v>
      </c>
      <c r="AV48" s="277"/>
      <c r="AW48" s="277"/>
      <c r="AX48" s="277"/>
      <c r="AY48" s="277"/>
      <c r="AZ48" s="279"/>
      <c r="BA48" s="254">
        <f t="shared" si="27"/>
        <v>0</v>
      </c>
      <c r="BB48" s="292"/>
    </row>
    <row r="49" spans="1:55" ht="15.75" thickBot="1" x14ac:dyDescent="0.3">
      <c r="A49" s="198" t="s">
        <v>293</v>
      </c>
      <c r="B49" s="369"/>
      <c r="C49" s="282"/>
      <c r="D49" s="280">
        <f>IFERROR(C49/$M$1,"")</f>
        <v>0</v>
      </c>
      <c r="T49" s="145"/>
      <c r="U49" s="96" t="s">
        <v>278</v>
      </c>
      <c r="V49" s="275"/>
      <c r="W49" s="275"/>
      <c r="X49" s="275"/>
      <c r="Y49" s="278">
        <v>0.5</v>
      </c>
      <c r="Z49" s="278">
        <v>0.5</v>
      </c>
      <c r="AA49" s="278">
        <v>0.5</v>
      </c>
      <c r="AB49" s="278">
        <v>0.5</v>
      </c>
      <c r="AC49" s="278">
        <v>0.5</v>
      </c>
      <c r="AD49" s="272" t="s">
        <v>112</v>
      </c>
      <c r="AE49" s="272" t="s">
        <v>112</v>
      </c>
      <c r="AF49" s="278">
        <v>0.5</v>
      </c>
      <c r="AG49" s="278">
        <v>0.5</v>
      </c>
      <c r="AH49" s="278">
        <v>0.5</v>
      </c>
      <c r="AI49" s="278">
        <v>0.5</v>
      </c>
      <c r="AJ49" s="278">
        <v>0.5</v>
      </c>
      <c r="AK49" s="272" t="s">
        <v>112</v>
      </c>
      <c r="AL49" s="272" t="s">
        <v>112</v>
      </c>
      <c r="AM49" s="278">
        <v>0.5</v>
      </c>
      <c r="AN49" s="278">
        <v>0.5</v>
      </c>
      <c r="AO49" s="278">
        <v>0.5</v>
      </c>
      <c r="AP49" s="278">
        <v>0.5</v>
      </c>
      <c r="AQ49" s="278">
        <v>0.5</v>
      </c>
      <c r="AR49" s="272" t="s">
        <v>112</v>
      </c>
      <c r="AS49" s="272" t="s">
        <v>112</v>
      </c>
      <c r="AT49" s="278">
        <v>0.5</v>
      </c>
      <c r="AU49" s="278">
        <v>0.5</v>
      </c>
      <c r="AV49" s="278">
        <v>0.5</v>
      </c>
      <c r="AW49" s="278">
        <v>0.5</v>
      </c>
      <c r="AX49" s="278">
        <v>0.5</v>
      </c>
      <c r="AY49" s="272" t="s">
        <v>112</v>
      </c>
      <c r="AZ49" s="268"/>
      <c r="BA49" s="255">
        <f t="shared" si="27"/>
        <v>10</v>
      </c>
      <c r="BB49" s="292"/>
      <c r="BC49" s="181"/>
    </row>
    <row r="50" spans="1:55" ht="15.75" thickTop="1" x14ac:dyDescent="0.25">
      <c r="A50" s="198" t="s">
        <v>294</v>
      </c>
      <c r="B50" s="369"/>
      <c r="C50" s="282"/>
      <c r="D50" s="280">
        <f>IFERROR(C50/$M$1,"")</f>
        <v>0</v>
      </c>
    </row>
    <row r="51" spans="1:55" ht="15.75" thickBot="1" x14ac:dyDescent="0.3">
      <c r="A51" s="198" t="s">
        <v>295</v>
      </c>
      <c r="B51" s="369"/>
      <c r="C51" s="282"/>
      <c r="D51" s="280">
        <f>IFERROR(C51/$M$1,"")</f>
        <v>0</v>
      </c>
      <c r="S51" s="181"/>
      <c r="T51" s="181"/>
      <c r="U51" s="414" t="s">
        <v>313</v>
      </c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4"/>
      <c r="AG51" s="414"/>
      <c r="AH51" s="414"/>
      <c r="AI51" s="414"/>
      <c r="AJ51" s="414"/>
      <c r="AK51" s="414"/>
      <c r="AL51" s="414"/>
      <c r="AM51" s="414"/>
      <c r="AN51" s="414"/>
      <c r="AO51" s="414"/>
      <c r="AP51" s="414"/>
      <c r="AQ51" s="414"/>
      <c r="AR51" s="414"/>
      <c r="AS51" s="414"/>
      <c r="AT51" s="414"/>
      <c r="AU51" s="414"/>
      <c r="AV51" s="414"/>
      <c r="AW51" s="414"/>
      <c r="AX51" s="414"/>
      <c r="AY51" s="414"/>
      <c r="AZ51" s="414"/>
      <c r="BA51" s="201"/>
      <c r="BB51" s="332"/>
    </row>
    <row r="52" spans="1:55" ht="18" customHeight="1" thickTop="1" thickBot="1" x14ac:dyDescent="0.3">
      <c r="S52" s="415" t="s">
        <v>312</v>
      </c>
      <c r="T52" s="416"/>
      <c r="U52" s="246" t="s">
        <v>314</v>
      </c>
      <c r="V52" s="159">
        <v>1</v>
      </c>
      <c r="W52" s="57">
        <v>2</v>
      </c>
      <c r="X52" s="16">
        <v>3</v>
      </c>
      <c r="Y52" s="16">
        <v>4</v>
      </c>
      <c r="Z52" s="16">
        <v>5</v>
      </c>
      <c r="AA52" s="16">
        <v>6</v>
      </c>
      <c r="AB52" s="16">
        <v>7</v>
      </c>
      <c r="AC52" s="57">
        <v>8</v>
      </c>
      <c r="AD52" s="57">
        <v>9</v>
      </c>
      <c r="AE52" s="16">
        <v>10</v>
      </c>
      <c r="AF52" s="16">
        <v>11</v>
      </c>
      <c r="AG52" s="16">
        <v>12</v>
      </c>
      <c r="AH52" s="16">
        <v>13</v>
      </c>
      <c r="AI52" s="16">
        <v>14</v>
      </c>
      <c r="AJ52" s="57">
        <v>15</v>
      </c>
      <c r="AK52" s="57">
        <v>16</v>
      </c>
      <c r="AL52" s="16">
        <v>17</v>
      </c>
      <c r="AM52" s="16">
        <v>18</v>
      </c>
      <c r="AN52" s="16">
        <v>19</v>
      </c>
      <c r="AO52" s="16">
        <v>20</v>
      </c>
      <c r="AP52" s="16">
        <v>21</v>
      </c>
      <c r="AQ52" s="57">
        <v>22</v>
      </c>
      <c r="AR52" s="57">
        <v>23</v>
      </c>
      <c r="AS52" s="16">
        <v>24</v>
      </c>
      <c r="AT52" s="16">
        <v>25</v>
      </c>
      <c r="AU52" s="16">
        <v>26</v>
      </c>
      <c r="AV52" s="16">
        <v>27</v>
      </c>
      <c r="AW52" s="16">
        <v>28</v>
      </c>
      <c r="AX52" s="57">
        <v>29</v>
      </c>
      <c r="AY52" s="57">
        <v>30</v>
      </c>
      <c r="AZ52" s="253"/>
      <c r="BA52" s="256" t="s">
        <v>159</v>
      </c>
      <c r="BB52" s="292"/>
    </row>
    <row r="53" spans="1:55" x14ac:dyDescent="0.25">
      <c r="S53" s="412"/>
      <c r="T53" s="413"/>
      <c r="U53" s="96" t="s">
        <v>270</v>
      </c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252"/>
      <c r="BA53" s="254">
        <f t="shared" ref="BA53:BA60" si="28">SUM(V53:AZ53)</f>
        <v>0</v>
      </c>
      <c r="BB53" s="292"/>
    </row>
    <row r="54" spans="1:55" x14ac:dyDescent="0.25">
      <c r="S54" s="412"/>
      <c r="T54" s="413"/>
      <c r="U54" s="96" t="s">
        <v>271</v>
      </c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252"/>
      <c r="BA54" s="254">
        <f t="shared" si="28"/>
        <v>0</v>
      </c>
      <c r="BB54" s="292"/>
    </row>
    <row r="55" spans="1:55" x14ac:dyDescent="0.25">
      <c r="S55" s="412"/>
      <c r="T55" s="413"/>
      <c r="U55" s="96" t="s">
        <v>272</v>
      </c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252"/>
      <c r="BA55" s="254">
        <f t="shared" si="28"/>
        <v>0</v>
      </c>
      <c r="BB55" s="292"/>
    </row>
    <row r="56" spans="1:55" s="181" customFormat="1" x14ac:dyDescent="0.25">
      <c r="B56" s="330"/>
      <c r="G56" s="330"/>
      <c r="S56" s="412"/>
      <c r="T56" s="413"/>
      <c r="U56" s="96" t="s">
        <v>273</v>
      </c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252"/>
      <c r="BA56" s="254">
        <f t="shared" ref="BA56" si="29">SUM(V56:AZ56)</f>
        <v>0</v>
      </c>
      <c r="BB56" s="292"/>
    </row>
    <row r="57" spans="1:55" x14ac:dyDescent="0.25">
      <c r="S57" s="412"/>
      <c r="T57" s="413"/>
      <c r="U57" s="96" t="s">
        <v>274</v>
      </c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252"/>
      <c r="BA57" s="254">
        <f t="shared" si="28"/>
        <v>0</v>
      </c>
      <c r="BB57" s="292"/>
    </row>
    <row r="58" spans="1:55" x14ac:dyDescent="0.25">
      <c r="S58" s="412"/>
      <c r="T58" s="413"/>
      <c r="U58" s="96" t="s">
        <v>275</v>
      </c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252"/>
      <c r="BA58" s="254">
        <f t="shared" si="28"/>
        <v>0</v>
      </c>
      <c r="BB58" s="292"/>
    </row>
    <row r="59" spans="1:55" x14ac:dyDescent="0.25">
      <c r="S59" s="412"/>
      <c r="T59" s="413"/>
      <c r="U59" s="96" t="s">
        <v>64</v>
      </c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252"/>
      <c r="BA59" s="254">
        <f t="shared" si="28"/>
        <v>0</v>
      </c>
      <c r="BB59" s="292"/>
    </row>
    <row r="60" spans="1:55" ht="15.75" thickBot="1" x14ac:dyDescent="0.3">
      <c r="S60" s="412"/>
      <c r="T60" s="413"/>
      <c r="U60" s="96" t="s">
        <v>278</v>
      </c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252"/>
      <c r="BA60" s="255">
        <f t="shared" si="28"/>
        <v>0</v>
      </c>
      <c r="BB60" s="292"/>
    </row>
    <row r="61" spans="1:55" ht="15.75" thickTop="1" x14ac:dyDescent="0.25"/>
  </sheetData>
  <mergeCells count="41">
    <mergeCell ref="O6:O7"/>
    <mergeCell ref="BL5:BL7"/>
    <mergeCell ref="BM5:BN6"/>
    <mergeCell ref="U51:AZ51"/>
    <mergeCell ref="BI5:BI7"/>
    <mergeCell ref="BJ5:BK6"/>
    <mergeCell ref="N5:O5"/>
    <mergeCell ref="B6:B7"/>
    <mergeCell ref="A36:F36"/>
    <mergeCell ref="K6:L6"/>
    <mergeCell ref="M6:M7"/>
    <mergeCell ref="N6:N7"/>
    <mergeCell ref="A5:A7"/>
    <mergeCell ref="C6:C7"/>
    <mergeCell ref="D6:F6"/>
    <mergeCell ref="I6:I7"/>
    <mergeCell ref="J6:J7"/>
    <mergeCell ref="G5:M5"/>
    <mergeCell ref="B5:F5"/>
    <mergeCell ref="G6:H6"/>
    <mergeCell ref="S52:T52"/>
    <mergeCell ref="S53:T53"/>
    <mergeCell ref="BD5:BD7"/>
    <mergeCell ref="BE5:BF6"/>
    <mergeCell ref="BG5:BH6"/>
    <mergeCell ref="U5:U7"/>
    <mergeCell ref="P5:T5"/>
    <mergeCell ref="V5:AZ5"/>
    <mergeCell ref="BA5:BB5"/>
    <mergeCell ref="R6:R7"/>
    <mergeCell ref="S6:S7"/>
    <mergeCell ref="T6:T7"/>
    <mergeCell ref="P6:P7"/>
    <mergeCell ref="Q6:Q7"/>
    <mergeCell ref="S60:T60"/>
    <mergeCell ref="S56:T56"/>
    <mergeCell ref="S54:T54"/>
    <mergeCell ref="S55:T55"/>
    <mergeCell ref="S57:T57"/>
    <mergeCell ref="S58:T58"/>
    <mergeCell ref="S59:T59"/>
  </mergeCells>
  <conditionalFormatting sqref="V42:AZ47 V49:AZ49">
    <cfRule type="cellIs" dxfId="43" priority="30" operator="equal">
      <formula>1</formula>
    </cfRule>
  </conditionalFormatting>
  <conditionalFormatting sqref="V40:AZ40">
    <cfRule type="cellIs" dxfId="42" priority="29" operator="equal">
      <formula>"!!!"</formula>
    </cfRule>
  </conditionalFormatting>
  <conditionalFormatting sqref="U8:U34">
    <cfRule type="cellIs" dxfId="41" priority="27" operator="lessThan">
      <formula>0</formula>
    </cfRule>
    <cfRule type="cellIs" dxfId="40" priority="28" operator="equal">
      <formula>0</formula>
    </cfRule>
  </conditionalFormatting>
  <conditionalFormatting sqref="V36:AZ36">
    <cfRule type="cellIs" dxfId="33" priority="19" operator="lessThan">
      <formula>-0.1</formula>
    </cfRule>
    <cfRule type="cellIs" dxfId="32" priority="20" operator="equal">
      <formula>0</formula>
    </cfRule>
  </conditionalFormatting>
  <conditionalFormatting sqref="V48:AZ48">
    <cfRule type="cellIs" dxfId="31" priority="18" operator="equal">
      <formula>1</formula>
    </cfRule>
  </conditionalFormatting>
  <conditionalFormatting sqref="BD8:BD34 BH8:BM34 BF8:BF34">
    <cfRule type="cellIs" dxfId="30" priority="17" operator="equal">
      <formula>0</formula>
    </cfRule>
  </conditionalFormatting>
  <conditionalFormatting sqref="BN8:BN34">
    <cfRule type="cellIs" dxfId="29" priority="16" operator="equal">
      <formula>0</formula>
    </cfRule>
  </conditionalFormatting>
  <conditionalFormatting sqref="U51">
    <cfRule type="cellIs" dxfId="28" priority="15" operator="equal">
      <formula>1</formula>
    </cfRule>
  </conditionalFormatting>
  <conditionalFormatting sqref="V53:AZ55 V57:AZ60">
    <cfRule type="cellIs" dxfId="27" priority="14" operator="equal">
      <formula>1</formula>
    </cfRule>
  </conditionalFormatting>
  <conditionalFormatting sqref="BA36:BB36">
    <cfRule type="cellIs" dxfId="26" priority="12" operator="lessThan">
      <formula>-0.1</formula>
    </cfRule>
    <cfRule type="cellIs" dxfId="25" priority="13" operator="equal">
      <formula>0</formula>
    </cfRule>
  </conditionalFormatting>
  <conditionalFormatting sqref="V56:AZ56">
    <cfRule type="cellIs" dxfId="24" priority="11" operator="equal">
      <formula>1</formula>
    </cfRule>
  </conditionalFormatting>
  <conditionalFormatting sqref="V6:AZ6">
    <cfRule type="containsText" dxfId="23" priority="5" operator="containsText" text="пл">
      <formula>NOT(ISERROR(SEARCH("пл",V6)))</formula>
    </cfRule>
    <cfRule type="containsText" dxfId="22" priority="6" operator="containsText" text="ф">
      <formula>NOT(ISERROR(SEARCH("ф",V6)))</formula>
    </cfRule>
  </conditionalFormatting>
  <conditionalFormatting sqref="BA6">
    <cfRule type="containsText" dxfId="21" priority="1" operator="containsText" text="пл">
      <formula>NOT(ISERROR(SEARCH("пл",BA6)))</formula>
    </cfRule>
    <cfRule type="containsText" dxfId="20" priority="2" operator="containsText" text="ф">
      <formula>NOT(ISERROR(SEARCH("ф",BA6)))</formula>
    </cfRule>
  </conditionalFormatting>
  <conditionalFormatting sqref="BB6">
    <cfRule type="containsText" dxfId="19" priority="3" operator="containsText" text="пл">
      <formula>NOT(ISERROR(SEARCH("пл",BB6)))</formula>
    </cfRule>
    <cfRule type="containsText" dxfId="18" priority="4" operator="containsText" text="ф">
      <formula>NOT(ISERROR(SEARCH("ф",BB6)))</formula>
    </cfRule>
  </conditionalFormatting>
  <dataValidations count="1">
    <dataValidation type="list" allowBlank="1" showInputMessage="1" showErrorMessage="1" sqref="BG3" xr:uid="{00000000-0002-0000-0400-000000000000}">
      <formula1>$CD$1:$CD$2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58"/>
  <sheetViews>
    <sheetView topLeftCell="A19" workbookViewId="0">
      <selection activeCell="E28" sqref="E28:E33"/>
    </sheetView>
  </sheetViews>
  <sheetFormatPr defaultRowHeight="15" x14ac:dyDescent="0.25"/>
  <cols>
    <col min="2" max="2" width="47.5703125" customWidth="1"/>
    <col min="3" max="3" width="14.42578125" customWidth="1"/>
    <col min="4" max="4" width="15" customWidth="1"/>
    <col min="6" max="6" width="43" customWidth="1"/>
    <col min="9" max="9" width="33.85546875" customWidth="1"/>
    <col min="10" max="10" width="9.140625" customWidth="1"/>
  </cols>
  <sheetData>
    <row r="1" spans="2:11" s="148" customFormat="1" ht="38.25" x14ac:dyDescent="0.25">
      <c r="B1" s="176"/>
      <c r="C1" s="177"/>
      <c r="D1" s="178">
        <v>0.11</v>
      </c>
      <c r="E1" s="179" t="s">
        <v>262</v>
      </c>
      <c r="I1" s="171" t="s">
        <v>254</v>
      </c>
      <c r="J1" s="168" t="s">
        <v>255</v>
      </c>
      <c r="K1" s="148" t="s">
        <v>269</v>
      </c>
    </row>
    <row r="2" spans="2:11" ht="15" customHeight="1" x14ac:dyDescent="0.25">
      <c r="B2" s="176" t="s">
        <v>39</v>
      </c>
      <c r="C2" s="180">
        <v>13969</v>
      </c>
      <c r="D2" s="179">
        <f>C2*1.11</f>
        <v>15505.590000000002</v>
      </c>
      <c r="E2" s="179">
        <v>2400</v>
      </c>
      <c r="I2" s="172" t="s">
        <v>256</v>
      </c>
      <c r="J2" s="169">
        <v>562</v>
      </c>
      <c r="K2">
        <f>J2/12</f>
        <v>46.833333333333336</v>
      </c>
    </row>
    <row r="3" spans="2:11" ht="15" customHeight="1" x14ac:dyDescent="0.25">
      <c r="B3" s="176" t="s">
        <v>37</v>
      </c>
      <c r="C3" s="180">
        <v>13743</v>
      </c>
      <c r="D3" s="179">
        <f t="shared" ref="D3:D18" si="0">C3*1.11</f>
        <v>15254.730000000001</v>
      </c>
      <c r="E3" s="179">
        <v>2500</v>
      </c>
      <c r="I3" s="172" t="s">
        <v>40</v>
      </c>
      <c r="J3" s="169">
        <v>72</v>
      </c>
      <c r="K3" s="148">
        <f t="shared" ref="K3:K18" si="1">J3/12</f>
        <v>6</v>
      </c>
    </row>
    <row r="4" spans="2:11" ht="22.5" x14ac:dyDescent="0.25">
      <c r="B4" s="176" t="s">
        <v>36</v>
      </c>
      <c r="C4" s="180">
        <v>7767</v>
      </c>
      <c r="D4" s="179">
        <f t="shared" si="0"/>
        <v>8621.3700000000008</v>
      </c>
      <c r="E4" s="179">
        <v>1400</v>
      </c>
      <c r="I4" s="172" t="s">
        <v>41</v>
      </c>
      <c r="J4" s="169">
        <v>45</v>
      </c>
      <c r="K4" s="148">
        <f t="shared" si="1"/>
        <v>3.75</v>
      </c>
    </row>
    <row r="5" spans="2:11" ht="22.5" x14ac:dyDescent="0.25">
      <c r="B5" s="176" t="s">
        <v>35</v>
      </c>
      <c r="C5" s="180">
        <v>1371</v>
      </c>
      <c r="D5" s="179">
        <f t="shared" si="0"/>
        <v>1521.8100000000002</v>
      </c>
      <c r="E5" s="179">
        <v>180</v>
      </c>
      <c r="I5" s="172" t="s">
        <v>42</v>
      </c>
      <c r="J5" s="169">
        <v>269</v>
      </c>
      <c r="K5" s="148">
        <f t="shared" si="1"/>
        <v>22.416666666666668</v>
      </c>
    </row>
    <row r="6" spans="2:11" x14ac:dyDescent="0.25">
      <c r="B6" s="176" t="s">
        <v>34</v>
      </c>
      <c r="C6" s="180">
        <v>1999</v>
      </c>
      <c r="D6" s="179">
        <f t="shared" si="0"/>
        <v>2218.8900000000003</v>
      </c>
      <c r="E6" s="179">
        <v>400</v>
      </c>
      <c r="I6" s="172" t="s">
        <v>39</v>
      </c>
      <c r="J6" s="170">
        <v>14500</v>
      </c>
      <c r="K6" s="148">
        <f t="shared" si="1"/>
        <v>1208.3333333333333</v>
      </c>
    </row>
    <row r="7" spans="2:11" ht="22.5" x14ac:dyDescent="0.25">
      <c r="B7" s="176" t="s">
        <v>38</v>
      </c>
      <c r="C7" s="180">
        <v>6497</v>
      </c>
      <c r="D7" s="179">
        <f t="shared" si="0"/>
        <v>7211.670000000001</v>
      </c>
      <c r="E7" s="179">
        <v>1200</v>
      </c>
      <c r="I7" s="172" t="s">
        <v>37</v>
      </c>
      <c r="J7" s="170">
        <v>15000</v>
      </c>
      <c r="K7" s="148">
        <f t="shared" si="1"/>
        <v>1250</v>
      </c>
    </row>
    <row r="8" spans="2:11" x14ac:dyDescent="0.25">
      <c r="B8" s="176" t="s">
        <v>257</v>
      </c>
      <c r="C8" s="177">
        <f>420.48+322.41</f>
        <v>742.8900000000001</v>
      </c>
      <c r="D8" s="179">
        <f t="shared" si="0"/>
        <v>824.6079000000002</v>
      </c>
      <c r="E8" s="179">
        <v>160</v>
      </c>
      <c r="I8" s="172" t="s">
        <v>36</v>
      </c>
      <c r="J8" s="170">
        <v>8400</v>
      </c>
      <c r="K8" s="148">
        <f t="shared" si="1"/>
        <v>700</v>
      </c>
    </row>
    <row r="9" spans="2:11" x14ac:dyDescent="0.25">
      <c r="B9" s="176" t="s">
        <v>265</v>
      </c>
      <c r="C9" s="180">
        <v>2857</v>
      </c>
      <c r="D9" s="179">
        <f t="shared" si="0"/>
        <v>3171.2700000000004</v>
      </c>
      <c r="E9" s="179">
        <v>560</v>
      </c>
      <c r="I9" s="172" t="s">
        <v>35</v>
      </c>
      <c r="J9" s="170">
        <v>1070</v>
      </c>
      <c r="K9" s="148">
        <f t="shared" si="1"/>
        <v>89.166666666666671</v>
      </c>
    </row>
    <row r="10" spans="2:11" x14ac:dyDescent="0.25">
      <c r="B10" s="176" t="s">
        <v>266</v>
      </c>
      <c r="C10" s="177">
        <v>617</v>
      </c>
      <c r="D10" s="179">
        <f t="shared" si="0"/>
        <v>684.87</v>
      </c>
      <c r="E10" s="179">
        <v>150</v>
      </c>
      <c r="I10" s="172" t="s">
        <v>34</v>
      </c>
      <c r="J10" s="170">
        <v>2450</v>
      </c>
      <c r="K10" s="148">
        <f t="shared" si="1"/>
        <v>204.16666666666666</v>
      </c>
    </row>
    <row r="11" spans="2:11" x14ac:dyDescent="0.25">
      <c r="B11" s="176" t="s">
        <v>268</v>
      </c>
      <c r="C11" s="177">
        <v>491</v>
      </c>
      <c r="D11" s="179">
        <f t="shared" si="0"/>
        <v>545.0100000000001</v>
      </c>
      <c r="E11" s="179">
        <v>100</v>
      </c>
      <c r="I11" s="172" t="s">
        <v>38</v>
      </c>
      <c r="J11" s="170">
        <v>8000</v>
      </c>
      <c r="K11" s="148">
        <f t="shared" si="1"/>
        <v>666.66666666666663</v>
      </c>
    </row>
    <row r="12" spans="2:11" x14ac:dyDescent="0.25">
      <c r="B12" s="176" t="s">
        <v>258</v>
      </c>
      <c r="C12" s="177">
        <v>533.56799999999998</v>
      </c>
      <c r="D12" s="179">
        <f t="shared" si="0"/>
        <v>592.26048000000003</v>
      </c>
      <c r="E12" s="179">
        <v>90</v>
      </c>
      <c r="I12" s="172" t="s">
        <v>257</v>
      </c>
      <c r="J12" s="169">
        <v>977.29700000000003</v>
      </c>
      <c r="K12" s="148">
        <f t="shared" si="1"/>
        <v>81.441416666666669</v>
      </c>
    </row>
    <row r="13" spans="2:11" x14ac:dyDescent="0.25">
      <c r="B13" s="176" t="s">
        <v>260</v>
      </c>
      <c r="C13" s="177">
        <v>410.13499999999999</v>
      </c>
      <c r="D13" s="179">
        <f t="shared" si="0"/>
        <v>455.24985000000004</v>
      </c>
      <c r="E13" s="179">
        <v>70</v>
      </c>
      <c r="I13" s="172" t="s">
        <v>258</v>
      </c>
      <c r="J13" s="169">
        <v>61.121000000000002</v>
      </c>
      <c r="K13" s="148">
        <f t="shared" si="1"/>
        <v>5.0934166666666671</v>
      </c>
    </row>
    <row r="14" spans="2:11" x14ac:dyDescent="0.25">
      <c r="B14" s="176" t="s">
        <v>264</v>
      </c>
      <c r="C14" s="177">
        <v>77</v>
      </c>
      <c r="D14" s="179">
        <f t="shared" si="0"/>
        <v>85.470000000000013</v>
      </c>
      <c r="E14" s="179">
        <v>0</v>
      </c>
      <c r="I14" s="172" t="s">
        <v>57</v>
      </c>
      <c r="J14" s="169">
        <v>549.45799999999997</v>
      </c>
      <c r="K14" s="148">
        <f t="shared" si="1"/>
        <v>45.788166666666662</v>
      </c>
    </row>
    <row r="15" spans="2:11" x14ac:dyDescent="0.25">
      <c r="B15" s="176" t="s">
        <v>267</v>
      </c>
      <c r="C15" s="177">
        <v>74</v>
      </c>
      <c r="D15" s="179">
        <f t="shared" si="0"/>
        <v>82.14</v>
      </c>
      <c r="E15" s="179">
        <v>0</v>
      </c>
      <c r="I15" s="172" t="s">
        <v>259</v>
      </c>
      <c r="J15" s="169">
        <v>873</v>
      </c>
      <c r="K15" s="148">
        <f t="shared" si="1"/>
        <v>72.75</v>
      </c>
    </row>
    <row r="16" spans="2:11" x14ac:dyDescent="0.25">
      <c r="B16" s="176" t="s">
        <v>40</v>
      </c>
      <c r="C16" s="177">
        <v>70</v>
      </c>
      <c r="D16" s="179">
        <f t="shared" si="0"/>
        <v>77.7</v>
      </c>
      <c r="E16" s="179">
        <v>5</v>
      </c>
      <c r="I16" s="172" t="s">
        <v>260</v>
      </c>
      <c r="J16" s="169">
        <v>46.537999999999997</v>
      </c>
      <c r="K16" s="148">
        <f t="shared" si="1"/>
        <v>3.8781666666666665</v>
      </c>
    </row>
    <row r="17" spans="2:11" ht="22.5" x14ac:dyDescent="0.25">
      <c r="B17" s="176" t="s">
        <v>41</v>
      </c>
      <c r="C17" s="177">
        <v>38</v>
      </c>
      <c r="D17" s="179">
        <f t="shared" si="0"/>
        <v>42.180000000000007</v>
      </c>
      <c r="E17" s="179">
        <v>5</v>
      </c>
      <c r="I17" s="172" t="s">
        <v>261</v>
      </c>
      <c r="J17" s="169">
        <v>453.42599999999999</v>
      </c>
      <c r="K17" s="148">
        <f t="shared" si="1"/>
        <v>37.785499999999999</v>
      </c>
    </row>
    <row r="18" spans="2:11" ht="22.5" x14ac:dyDescent="0.25">
      <c r="B18" s="176" t="s">
        <v>42</v>
      </c>
      <c r="C18" s="177">
        <v>261</v>
      </c>
      <c r="D18" s="179">
        <f t="shared" si="0"/>
        <v>289.71000000000004</v>
      </c>
      <c r="E18" s="179">
        <v>40</v>
      </c>
      <c r="I18" s="173" t="s">
        <v>263</v>
      </c>
      <c r="J18" s="174">
        <v>3379</v>
      </c>
      <c r="K18" s="148">
        <f t="shared" si="1"/>
        <v>281.58333333333331</v>
      </c>
    </row>
    <row r="26" spans="2:11" ht="15" customHeight="1" x14ac:dyDescent="0.25">
      <c r="B26" s="185" t="s">
        <v>286</v>
      </c>
      <c r="D26" t="s">
        <v>287</v>
      </c>
    </row>
    <row r="27" spans="2:11" ht="15" customHeight="1" x14ac:dyDescent="0.25">
      <c r="B27" s="184" t="s">
        <v>279</v>
      </c>
      <c r="C27" s="186"/>
      <c r="F27" s="181"/>
      <c r="G27" s="181"/>
    </row>
    <row r="28" spans="2:11" ht="15" customHeight="1" x14ac:dyDescent="0.25">
      <c r="B28" s="183" t="s">
        <v>280</v>
      </c>
      <c r="C28" s="187">
        <v>727.71</v>
      </c>
      <c r="D28">
        <v>630</v>
      </c>
      <c r="E28">
        <f>D28/12*2</f>
        <v>105</v>
      </c>
      <c r="F28" s="181"/>
      <c r="G28" s="181"/>
    </row>
    <row r="29" spans="2:11" ht="15" customHeight="1" x14ac:dyDescent="0.25">
      <c r="B29" s="183" t="s">
        <v>281</v>
      </c>
      <c r="C29" s="187">
        <v>464.14</v>
      </c>
      <c r="D29" s="175">
        <v>370</v>
      </c>
      <c r="E29" s="181">
        <v>60</v>
      </c>
      <c r="F29" s="181"/>
      <c r="G29" s="181"/>
    </row>
    <row r="30" spans="2:11" ht="15" customHeight="1" x14ac:dyDescent="0.25">
      <c r="B30" s="183" t="s">
        <v>282</v>
      </c>
      <c r="C30" s="187">
        <v>775.70299999999997</v>
      </c>
      <c r="D30" s="175">
        <v>700</v>
      </c>
      <c r="E30" s="181">
        <v>120</v>
      </c>
      <c r="F30" s="181"/>
      <c r="G30" s="181"/>
    </row>
    <row r="31" spans="2:11" ht="15" customHeight="1" x14ac:dyDescent="0.25">
      <c r="B31" s="183" t="s">
        <v>283</v>
      </c>
      <c r="C31" s="187">
        <v>106.76900000000001</v>
      </c>
      <c r="D31" s="175">
        <v>160</v>
      </c>
      <c r="E31" s="181">
        <v>30</v>
      </c>
      <c r="F31" s="181"/>
      <c r="G31" s="181"/>
    </row>
    <row r="32" spans="2:11" ht="15" customHeight="1" x14ac:dyDescent="0.25">
      <c r="B32" s="183" t="s">
        <v>284</v>
      </c>
      <c r="C32" s="187">
        <v>417.45699999999999</v>
      </c>
      <c r="D32" s="188">
        <v>300</v>
      </c>
      <c r="E32" s="181">
        <f t="shared" ref="E32" si="2">D32/12*2</f>
        <v>50</v>
      </c>
      <c r="F32" s="181"/>
      <c r="G32" s="181"/>
    </row>
    <row r="33" spans="2:7" ht="15" customHeight="1" x14ac:dyDescent="0.25">
      <c r="B33" s="183" t="s">
        <v>285</v>
      </c>
      <c r="C33" s="187">
        <v>568.48299999999995</v>
      </c>
      <c r="D33" s="175">
        <v>500</v>
      </c>
      <c r="E33" s="181">
        <v>90</v>
      </c>
      <c r="F33" s="181"/>
      <c r="G33" s="181"/>
    </row>
    <row r="34" spans="2:7" ht="15" customHeight="1" x14ac:dyDescent="0.25">
      <c r="B34" s="183"/>
      <c r="C34" s="187"/>
      <c r="D34" s="175"/>
      <c r="F34" s="181"/>
      <c r="G34" s="181"/>
    </row>
    <row r="35" spans="2:7" ht="15" customHeight="1" x14ac:dyDescent="0.25">
      <c r="B35" s="183"/>
      <c r="C35" s="187"/>
      <c r="F35" s="181"/>
      <c r="G35" s="181"/>
    </row>
    <row r="36" spans="2:7" ht="15" customHeight="1" x14ac:dyDescent="0.25">
      <c r="B36" s="183"/>
      <c r="C36" s="187"/>
      <c r="F36" s="181"/>
      <c r="G36" s="181"/>
    </row>
    <row r="37" spans="2:7" ht="15" customHeight="1" x14ac:dyDescent="0.25">
      <c r="F37" s="181"/>
      <c r="G37" s="181"/>
    </row>
    <row r="38" spans="2:7" ht="15" customHeight="1" x14ac:dyDescent="0.25">
      <c r="F38" s="181"/>
      <c r="G38" s="181"/>
    </row>
    <row r="39" spans="2:7" ht="15" customHeight="1" x14ac:dyDescent="0.25">
      <c r="F39" s="181"/>
      <c r="G39" s="181"/>
    </row>
    <row r="40" spans="2:7" ht="15" customHeight="1" x14ac:dyDescent="0.25">
      <c r="F40" s="181"/>
      <c r="G40" s="181"/>
    </row>
    <row r="41" spans="2:7" ht="15" customHeight="1" x14ac:dyDescent="0.25">
      <c r="F41" s="181"/>
      <c r="G41" s="181"/>
    </row>
    <row r="42" spans="2:7" ht="15" customHeight="1" x14ac:dyDescent="0.25">
      <c r="F42" s="181"/>
      <c r="G42" s="181"/>
    </row>
    <row r="43" spans="2:7" ht="15" customHeight="1" x14ac:dyDescent="0.25">
      <c r="F43" s="181"/>
      <c r="G43" s="181"/>
    </row>
    <row r="44" spans="2:7" ht="15" customHeight="1" x14ac:dyDescent="0.25">
      <c r="F44" s="181"/>
      <c r="G44" s="181"/>
    </row>
    <row r="45" spans="2:7" x14ac:dyDescent="0.25">
      <c r="F45" s="181"/>
      <c r="G45" s="181"/>
    </row>
    <row r="46" spans="2:7" x14ac:dyDescent="0.25">
      <c r="F46" s="181"/>
      <c r="G46" s="181"/>
    </row>
    <row r="47" spans="2:7" x14ac:dyDescent="0.25">
      <c r="F47" s="181"/>
      <c r="G47" s="181"/>
    </row>
    <row r="48" spans="2:7" x14ac:dyDescent="0.25">
      <c r="F48" s="181"/>
      <c r="G48" s="181"/>
    </row>
    <row r="49" spans="6:7" x14ac:dyDescent="0.25">
      <c r="F49" s="181"/>
      <c r="G49" s="181"/>
    </row>
    <row r="50" spans="6:7" x14ac:dyDescent="0.25">
      <c r="F50" s="181"/>
      <c r="G50" s="181"/>
    </row>
    <row r="51" spans="6:7" x14ac:dyDescent="0.25">
      <c r="F51" s="181"/>
      <c r="G51" s="181"/>
    </row>
    <row r="52" spans="6:7" x14ac:dyDescent="0.25">
      <c r="F52" s="181"/>
      <c r="G52" s="181"/>
    </row>
    <row r="53" spans="6:7" x14ac:dyDescent="0.25">
      <c r="F53" s="181"/>
      <c r="G53" s="181"/>
    </row>
    <row r="54" spans="6:7" x14ac:dyDescent="0.25">
      <c r="F54" s="181"/>
      <c r="G54" s="181"/>
    </row>
    <row r="55" spans="6:7" x14ac:dyDescent="0.25">
      <c r="F55" s="181"/>
      <c r="G55" s="181"/>
    </row>
    <row r="56" spans="6:7" x14ac:dyDescent="0.25">
      <c r="F56" s="181"/>
      <c r="G56" s="181"/>
    </row>
    <row r="57" spans="6:7" x14ac:dyDescent="0.25">
      <c r="F57" s="181"/>
      <c r="G57" s="181"/>
    </row>
    <row r="58" spans="6:7" x14ac:dyDescent="0.25">
      <c r="F58" s="181"/>
      <c r="G58" s="181"/>
    </row>
  </sheetData>
  <sortState ref="B2:D72">
    <sortCondition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CD59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25" sqref="K25"/>
    </sheetView>
  </sheetViews>
  <sheetFormatPr defaultRowHeight="15" outlineLevelCol="1" x14ac:dyDescent="0.25"/>
  <cols>
    <col min="1" max="1" width="38" customWidth="1"/>
    <col min="2" max="2" width="25.5703125" style="181" customWidth="1" outlineLevel="1"/>
    <col min="3" max="5" width="8.85546875" customWidth="1" outlineLevel="1"/>
    <col min="6" max="7" width="8.85546875" style="181" customWidth="1"/>
    <col min="8" max="8" width="9.42578125" style="181" customWidth="1"/>
    <col min="9" max="10" width="8.85546875" customWidth="1"/>
    <col min="11" max="11" width="8.7109375" customWidth="1"/>
    <col min="12" max="12" width="9.28515625" customWidth="1"/>
    <col min="13" max="14" width="9.7109375" customWidth="1"/>
    <col min="15" max="15" width="12.28515625" customWidth="1"/>
    <col min="16" max="16" width="9.7109375" customWidth="1"/>
    <col min="17" max="17" width="11.7109375" customWidth="1"/>
    <col min="18" max="19" width="9.5703125" customWidth="1" outlineLevel="1"/>
    <col min="20" max="20" width="12" customWidth="1" outlineLevel="1"/>
    <col min="21" max="21" width="10.28515625" customWidth="1" outlineLevel="1"/>
    <col min="22" max="22" width="9.140625" customWidth="1" outlineLevel="1"/>
    <col min="23" max="23" width="15.42578125" customWidth="1"/>
    <col min="24" max="24" width="4.5703125" style="2" customWidth="1"/>
    <col min="25" max="25" width="4.7109375" style="2" customWidth="1"/>
    <col min="26" max="54" width="4.85546875" style="2" customWidth="1"/>
    <col min="55" max="55" width="6.5703125" customWidth="1"/>
    <col min="56" max="56" width="6.5703125" style="298" customWidth="1"/>
    <col min="57" max="57" width="10.7109375" customWidth="1"/>
    <col min="61" max="61" width="9.140625" style="181"/>
    <col min="64" max="64" width="10" customWidth="1"/>
    <col min="65" max="66" width="9.85546875" customWidth="1"/>
    <col min="68" max="68" width="10.5703125" style="406" customWidth="1"/>
    <col min="69" max="69" width="10.5703125" customWidth="1"/>
    <col min="70" max="70" width="9" customWidth="1"/>
  </cols>
  <sheetData>
    <row r="1" spans="1:82" ht="19.5" thickBot="1" x14ac:dyDescent="0.35">
      <c r="A1" s="51" t="s">
        <v>107</v>
      </c>
      <c r="B1" s="287"/>
      <c r="M1" s="25" t="s">
        <v>4</v>
      </c>
      <c r="N1" s="42">
        <v>6</v>
      </c>
      <c r="O1" s="42">
        <v>3.5</v>
      </c>
      <c r="P1" s="58" t="s">
        <v>98</v>
      </c>
      <c r="BF1" s="202" t="s">
        <v>296</v>
      </c>
      <c r="BG1" s="203">
        <f ca="1">TODAY()</f>
        <v>43371</v>
      </c>
      <c r="BH1" s="181"/>
      <c r="BJ1" s="181"/>
      <c r="BK1" s="181"/>
      <c r="BL1" s="181"/>
      <c r="BM1" s="181"/>
      <c r="BN1" s="181"/>
      <c r="BO1" s="181"/>
      <c r="BQ1" s="181"/>
      <c r="CD1" s="2" t="s">
        <v>414</v>
      </c>
    </row>
    <row r="2" spans="1:82" ht="19.5" thickBot="1" x14ac:dyDescent="0.35">
      <c r="A2" s="233">
        <v>43374</v>
      </c>
      <c r="B2" s="287"/>
      <c r="M2" s="25" t="s">
        <v>2</v>
      </c>
      <c r="N2" s="43">
        <v>11</v>
      </c>
      <c r="BF2" s="202" t="s">
        <v>297</v>
      </c>
      <c r="BG2" s="239">
        <f ca="1">BG1-A2</f>
        <v>-3</v>
      </c>
      <c r="BH2" s="181"/>
      <c r="BJ2" s="392" t="s">
        <v>416</v>
      </c>
      <c r="BK2" s="181"/>
      <c r="BL2" s="181"/>
      <c r="BM2" s="181"/>
      <c r="BN2" s="181"/>
      <c r="BO2" s="181"/>
      <c r="BQ2" s="181"/>
      <c r="CD2" s="2" t="s">
        <v>415</v>
      </c>
    </row>
    <row r="3" spans="1:82" ht="19.5" thickBot="1" x14ac:dyDescent="0.35">
      <c r="A3" s="322" t="s">
        <v>360</v>
      </c>
      <c r="B3" s="287"/>
      <c r="M3" s="25" t="s">
        <v>61</v>
      </c>
      <c r="N3" s="42">
        <v>9.5</v>
      </c>
      <c r="BF3" s="202" t="s">
        <v>298</v>
      </c>
      <c r="BG3" s="232">
        <f ca="1">N4-BG2</f>
        <v>34</v>
      </c>
      <c r="BH3" s="181"/>
      <c r="BJ3" s="393" t="s">
        <v>415</v>
      </c>
      <c r="BK3" s="181"/>
      <c r="BL3" s="181"/>
      <c r="BM3" s="181"/>
      <c r="BN3" s="181"/>
      <c r="BO3" s="181"/>
      <c r="BQ3" s="181"/>
    </row>
    <row r="4" spans="1:82" ht="19.5" thickBot="1" x14ac:dyDescent="0.35">
      <c r="A4" s="11"/>
      <c r="B4" s="11"/>
      <c r="M4" s="25" t="s">
        <v>78</v>
      </c>
      <c r="N4" s="43">
        <v>31</v>
      </c>
      <c r="X4" s="297" t="s">
        <v>356</v>
      </c>
      <c r="BF4" s="295" t="s">
        <v>354</v>
      </c>
      <c r="BG4" s="181"/>
      <c r="BH4" s="181"/>
      <c r="BJ4" s="181"/>
      <c r="BK4" s="181"/>
      <c r="BL4" s="181"/>
      <c r="BM4" s="181"/>
      <c r="BN4" s="181"/>
      <c r="BO4" s="181"/>
      <c r="BQ4" s="181"/>
    </row>
    <row r="5" spans="1:82" ht="16.5" customHeight="1" thickTop="1" thickBot="1" x14ac:dyDescent="0.3">
      <c r="A5" s="479" t="s">
        <v>319</v>
      </c>
      <c r="B5" s="482" t="s">
        <v>321</v>
      </c>
      <c r="C5" s="482"/>
      <c r="D5" s="482"/>
      <c r="E5" s="482"/>
      <c r="F5" s="498" t="s">
        <v>320</v>
      </c>
      <c r="G5" s="426"/>
      <c r="H5" s="426"/>
      <c r="I5" s="426"/>
      <c r="J5" s="426"/>
      <c r="K5" s="426"/>
      <c r="L5" s="426"/>
      <c r="M5" s="426"/>
      <c r="N5" s="426"/>
      <c r="O5" s="485"/>
      <c r="P5" s="438" t="s">
        <v>75</v>
      </c>
      <c r="Q5" s="439"/>
      <c r="R5" s="489" t="s">
        <v>84</v>
      </c>
      <c r="S5" s="489"/>
      <c r="T5" s="489"/>
      <c r="U5" s="489"/>
      <c r="V5" s="490"/>
      <c r="W5" s="472" t="s">
        <v>80</v>
      </c>
      <c r="X5" s="495" t="s">
        <v>81</v>
      </c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0"/>
      <c r="AZ5" s="470"/>
      <c r="BA5" s="470"/>
      <c r="BB5" s="471"/>
      <c r="BC5" s="466" t="s">
        <v>359</v>
      </c>
      <c r="BD5" s="467"/>
      <c r="BF5" s="446" t="s">
        <v>343</v>
      </c>
      <c r="BG5" s="449" t="s">
        <v>344</v>
      </c>
      <c r="BH5" s="451"/>
      <c r="BI5" s="502" t="s">
        <v>345</v>
      </c>
      <c r="BJ5" s="455" t="s">
        <v>346</v>
      </c>
      <c r="BK5" s="456"/>
      <c r="BL5" s="459" t="s">
        <v>302</v>
      </c>
      <c r="BM5" s="460" t="s">
        <v>347</v>
      </c>
      <c r="BN5" s="462"/>
      <c r="BO5" s="468" t="str">
        <f ca="1">CONCATENATE("План пр-ва ПФ с ", BG2+1," по ", N4, "-е, шт")</f>
        <v>План пр-ва ПФ с -2 по 31-е, шт</v>
      </c>
      <c r="BP5" s="442" t="s">
        <v>348</v>
      </c>
      <c r="BQ5" s="443"/>
    </row>
    <row r="6" spans="1:82" s="3" customFormat="1" ht="15.75" customHeight="1" thickTop="1" x14ac:dyDescent="0.25">
      <c r="A6" s="480"/>
      <c r="B6" s="456" t="s">
        <v>322</v>
      </c>
      <c r="C6" s="459" t="s">
        <v>341</v>
      </c>
      <c r="D6" s="483"/>
      <c r="E6" s="483"/>
      <c r="F6" s="484" t="s">
        <v>342</v>
      </c>
      <c r="G6" s="504" t="s">
        <v>323</v>
      </c>
      <c r="H6" s="428" t="s">
        <v>353</v>
      </c>
      <c r="I6" s="503" t="s">
        <v>355</v>
      </c>
      <c r="J6" s="441"/>
      <c r="K6" s="434" t="s">
        <v>93</v>
      </c>
      <c r="L6" s="433" t="s">
        <v>9</v>
      </c>
      <c r="M6" s="504" t="s">
        <v>70</v>
      </c>
      <c r="N6" s="504"/>
      <c r="O6" s="427" t="s">
        <v>73</v>
      </c>
      <c r="P6" s="436" t="s">
        <v>58</v>
      </c>
      <c r="Q6" s="437" t="s">
        <v>74</v>
      </c>
      <c r="R6" s="421" t="s">
        <v>90</v>
      </c>
      <c r="S6" s="421" t="s">
        <v>96</v>
      </c>
      <c r="T6" s="440" t="s">
        <v>94</v>
      </c>
      <c r="U6" s="440" t="s">
        <v>95</v>
      </c>
      <c r="V6" s="420" t="s">
        <v>85</v>
      </c>
      <c r="W6" s="473"/>
      <c r="X6" s="302" t="str">
        <f ca="1">IF(X7&gt;$BG$2, "пл", "ф")</f>
        <v>пл</v>
      </c>
      <c r="Y6" s="303" t="str">
        <f t="shared" ref="Y6:BB6" ca="1" si="0">IF(Y7&gt;$BG$2, "пл", "ф")</f>
        <v>пл</v>
      </c>
      <c r="Z6" s="303" t="str">
        <f t="shared" ca="1" si="0"/>
        <v>пл</v>
      </c>
      <c r="AA6" s="303" t="str">
        <f t="shared" ca="1" si="0"/>
        <v>пл</v>
      </c>
      <c r="AB6" s="303" t="str">
        <f t="shared" ca="1" si="0"/>
        <v>пл</v>
      </c>
      <c r="AC6" s="303" t="str">
        <f t="shared" ca="1" si="0"/>
        <v>пл</v>
      </c>
      <c r="AD6" s="303" t="str">
        <f t="shared" ca="1" si="0"/>
        <v>пл</v>
      </c>
      <c r="AE6" s="303" t="str">
        <f t="shared" ca="1" si="0"/>
        <v>пл</v>
      </c>
      <c r="AF6" s="303" t="str">
        <f t="shared" ca="1" si="0"/>
        <v>пл</v>
      </c>
      <c r="AG6" s="303" t="str">
        <f t="shared" ca="1" si="0"/>
        <v>пл</v>
      </c>
      <c r="AH6" s="303" t="str">
        <f t="shared" ca="1" si="0"/>
        <v>пл</v>
      </c>
      <c r="AI6" s="303" t="str">
        <f t="shared" ca="1" si="0"/>
        <v>пл</v>
      </c>
      <c r="AJ6" s="303" t="str">
        <f t="shared" ca="1" si="0"/>
        <v>пл</v>
      </c>
      <c r="AK6" s="303" t="str">
        <f t="shared" ca="1" si="0"/>
        <v>пл</v>
      </c>
      <c r="AL6" s="303" t="str">
        <f t="shared" ca="1" si="0"/>
        <v>пл</v>
      </c>
      <c r="AM6" s="303" t="str">
        <f t="shared" ca="1" si="0"/>
        <v>пл</v>
      </c>
      <c r="AN6" s="303" t="str">
        <f t="shared" ca="1" si="0"/>
        <v>пл</v>
      </c>
      <c r="AO6" s="303" t="str">
        <f t="shared" ca="1" si="0"/>
        <v>пл</v>
      </c>
      <c r="AP6" s="303" t="str">
        <f t="shared" ca="1" si="0"/>
        <v>пл</v>
      </c>
      <c r="AQ6" s="303" t="str">
        <f t="shared" ca="1" si="0"/>
        <v>пл</v>
      </c>
      <c r="AR6" s="303" t="str">
        <f t="shared" ca="1" si="0"/>
        <v>пл</v>
      </c>
      <c r="AS6" s="303" t="str">
        <f t="shared" ca="1" si="0"/>
        <v>пл</v>
      </c>
      <c r="AT6" s="303" t="str">
        <f t="shared" ca="1" si="0"/>
        <v>пл</v>
      </c>
      <c r="AU6" s="303" t="str">
        <f t="shared" ca="1" si="0"/>
        <v>пл</v>
      </c>
      <c r="AV6" s="303" t="str">
        <f t="shared" ca="1" si="0"/>
        <v>пл</v>
      </c>
      <c r="AW6" s="303" t="str">
        <f t="shared" ca="1" si="0"/>
        <v>пл</v>
      </c>
      <c r="AX6" s="303" t="str">
        <f t="shared" ca="1" si="0"/>
        <v>пл</v>
      </c>
      <c r="AY6" s="303" t="str">
        <f t="shared" ca="1" si="0"/>
        <v>пл</v>
      </c>
      <c r="AZ6" s="303" t="str">
        <f t="shared" ca="1" si="0"/>
        <v>пл</v>
      </c>
      <c r="BA6" s="303" t="str">
        <f t="shared" ca="1" si="0"/>
        <v>пл</v>
      </c>
      <c r="BB6" s="304" t="str">
        <f t="shared" ca="1" si="0"/>
        <v>пл</v>
      </c>
      <c r="BC6" s="307" t="s">
        <v>351</v>
      </c>
      <c r="BD6" s="308" t="s">
        <v>352</v>
      </c>
      <c r="BF6" s="447"/>
      <c r="BG6" s="452"/>
      <c r="BH6" s="454"/>
      <c r="BI6" s="502"/>
      <c r="BJ6" s="457"/>
      <c r="BK6" s="458"/>
      <c r="BL6" s="459"/>
      <c r="BM6" s="463"/>
      <c r="BN6" s="465"/>
      <c r="BO6" s="468"/>
      <c r="BP6" s="444"/>
      <c r="BQ6" s="445"/>
    </row>
    <row r="7" spans="1:82" s="3" customFormat="1" ht="31.5" customHeight="1" x14ac:dyDescent="0.25">
      <c r="A7" s="481"/>
      <c r="B7" s="478"/>
      <c r="C7" s="231" t="s">
        <v>86</v>
      </c>
      <c r="D7" s="231" t="s">
        <v>87</v>
      </c>
      <c r="E7" s="231" t="s">
        <v>88</v>
      </c>
      <c r="F7" s="484"/>
      <c r="G7" s="504"/>
      <c r="H7" s="428"/>
      <c r="I7" s="402" t="s">
        <v>417</v>
      </c>
      <c r="J7" s="87" t="s">
        <v>235</v>
      </c>
      <c r="K7" s="435"/>
      <c r="L7" s="433"/>
      <c r="M7" s="105" t="s">
        <v>0</v>
      </c>
      <c r="N7" s="104" t="s">
        <v>1</v>
      </c>
      <c r="O7" s="427"/>
      <c r="P7" s="436"/>
      <c r="Q7" s="437"/>
      <c r="R7" s="421"/>
      <c r="S7" s="421"/>
      <c r="T7" s="440"/>
      <c r="U7" s="440"/>
      <c r="V7" s="420"/>
      <c r="W7" s="473"/>
      <c r="X7" s="97">
        <v>1</v>
      </c>
      <c r="Y7" s="57">
        <v>2</v>
      </c>
      <c r="Z7" s="16">
        <v>3</v>
      </c>
      <c r="AA7" s="16">
        <v>4</v>
      </c>
      <c r="AB7" s="16">
        <v>5</v>
      </c>
      <c r="AC7" s="16">
        <v>6</v>
      </c>
      <c r="AD7" s="16">
        <v>7</v>
      </c>
      <c r="AE7" s="57">
        <v>8</v>
      </c>
      <c r="AF7" s="57">
        <v>9</v>
      </c>
      <c r="AG7" s="16">
        <v>10</v>
      </c>
      <c r="AH7" s="16">
        <v>11</v>
      </c>
      <c r="AI7" s="16">
        <v>12</v>
      </c>
      <c r="AJ7" s="16">
        <v>13</v>
      </c>
      <c r="AK7" s="16">
        <v>14</v>
      </c>
      <c r="AL7" s="57">
        <v>15</v>
      </c>
      <c r="AM7" s="57">
        <v>16</v>
      </c>
      <c r="AN7" s="16">
        <v>17</v>
      </c>
      <c r="AO7" s="16">
        <v>18</v>
      </c>
      <c r="AP7" s="16">
        <v>19</v>
      </c>
      <c r="AQ7" s="16">
        <v>20</v>
      </c>
      <c r="AR7" s="16">
        <v>21</v>
      </c>
      <c r="AS7" s="57">
        <v>22</v>
      </c>
      <c r="AT7" s="57">
        <v>23</v>
      </c>
      <c r="AU7" s="16">
        <v>24</v>
      </c>
      <c r="AV7" s="16">
        <v>25</v>
      </c>
      <c r="AW7" s="16">
        <v>26</v>
      </c>
      <c r="AX7" s="16">
        <v>27</v>
      </c>
      <c r="AY7" s="16">
        <v>28</v>
      </c>
      <c r="AZ7" s="57">
        <v>29</v>
      </c>
      <c r="BA7" s="57">
        <v>30</v>
      </c>
      <c r="BB7" s="253">
        <v>31</v>
      </c>
      <c r="BC7" s="309" t="s">
        <v>357</v>
      </c>
      <c r="BD7" s="310" t="s">
        <v>358</v>
      </c>
      <c r="BF7" s="448"/>
      <c r="BG7" s="205" t="s">
        <v>305</v>
      </c>
      <c r="BH7" s="207" t="s">
        <v>306</v>
      </c>
      <c r="BI7" s="502"/>
      <c r="BJ7" s="208" t="s">
        <v>304</v>
      </c>
      <c r="BK7" s="209" t="s">
        <v>307</v>
      </c>
      <c r="BL7" s="459"/>
      <c r="BM7" s="210" t="s">
        <v>304</v>
      </c>
      <c r="BN7" s="212" t="s">
        <v>308</v>
      </c>
      <c r="BO7" s="468"/>
      <c r="BP7" s="407" t="s">
        <v>349</v>
      </c>
      <c r="BQ7" s="213" t="s">
        <v>350</v>
      </c>
      <c r="BR7" s="404"/>
    </row>
    <row r="8" spans="1:82" s="6" customFormat="1" x14ac:dyDescent="0.25">
      <c r="A8" s="383" t="s">
        <v>117</v>
      </c>
      <c r="B8" s="328" t="s">
        <v>340</v>
      </c>
      <c r="C8" s="192"/>
      <c r="D8" s="93"/>
      <c r="E8" s="93"/>
      <c r="F8" s="315"/>
      <c r="G8" s="316">
        <v>0.7</v>
      </c>
      <c r="H8" s="317">
        <f>IFERROR(ROUND(SUM(C8:E8)*F8/G8,0),0)</f>
        <v>0</v>
      </c>
      <c r="I8" s="394"/>
      <c r="J8" s="191"/>
      <c r="K8" s="290">
        <f>IF($BJ$3="да",BC8+BD8,IF((H8-I8+J8)&lt;0,0,H8-I8+J8))</f>
        <v>0</v>
      </c>
      <c r="L8" s="289">
        <f>G8*K8</f>
        <v>0</v>
      </c>
      <c r="M8" s="34">
        <f t="shared" ref="M8:M35" si="1">IFERROR(L8/$N$3,0)</f>
        <v>0</v>
      </c>
      <c r="N8" s="5">
        <f t="shared" ref="N8:N34" si="2">IFERROR(ROUND(M8/$N$2,0),0)</f>
        <v>0</v>
      </c>
      <c r="O8" s="61"/>
      <c r="P8" s="70"/>
      <c r="Q8" s="71" t="str">
        <f t="shared" ref="Q8:Q35" si="3">IFERROR(P8/L8,"")</f>
        <v/>
      </c>
      <c r="R8" s="155">
        <f t="shared" ref="R8:R34" si="4">S8*G8</f>
        <v>6.9999999999999994E-5</v>
      </c>
      <c r="S8" s="68">
        <f>IF(T8=0,0.0001,IFERROR(T8/$N$2,0.0001))</f>
        <v>1E-4</v>
      </c>
      <c r="T8" s="66"/>
      <c r="U8" s="66">
        <f>T8*$O$1</f>
        <v>0</v>
      </c>
      <c r="V8" s="67">
        <f>IFERROR(W8/U8,0)</f>
        <v>0</v>
      </c>
      <c r="W8" s="26">
        <f t="shared" ref="W8:W15" si="5">IF($BJ$3="да", BP8, K8-SUM(X8:BB8))</f>
        <v>0</v>
      </c>
      <c r="X8" s="44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306"/>
      <c r="BC8" s="311">
        <f ca="1">SUMIFS(X8:BB8,$X$6:$BB$6,"ф")</f>
        <v>0</v>
      </c>
      <c r="BD8" s="312">
        <f ca="1">SUMIFS(X8:BB8,$X$6:$BB$6,"пл")</f>
        <v>0</v>
      </c>
      <c r="BF8" s="61">
        <f>IFERROR(SUM(C8:E8)/$N$4,0)</f>
        <v>0</v>
      </c>
      <c r="BG8" s="214"/>
      <c r="BH8" s="305">
        <f t="shared" ref="BH8:BH9" ca="1" si="6">IFERROR(BG8/$BG$2,0)</f>
        <v>0</v>
      </c>
      <c r="BI8" s="218">
        <f t="shared" ref="BI8:BI34" ca="1" si="7">IFERROR(BH8*F8/G8,0)</f>
        <v>0</v>
      </c>
      <c r="BJ8" s="217"/>
      <c r="BK8" s="215">
        <f ca="1">IFERROR(BJ8/BI8,0)</f>
        <v>0</v>
      </c>
      <c r="BL8" s="61">
        <f t="shared" ref="BL8:BL34" si="8">J8</f>
        <v>0</v>
      </c>
      <c r="BM8" s="218">
        <f ca="1">IFERROR(IF(BI8*BG$3-BJ8+BL8&lt;0,0,BI8*BG$3-BJ8+BL8),0)</f>
        <v>0</v>
      </c>
      <c r="BN8" s="216">
        <f ca="1">IFERROR(BM8/$BG$3,0)</f>
        <v>0</v>
      </c>
      <c r="BO8" s="219">
        <f t="shared" ref="BO8:BO34" ca="1" si="9">SUMIFS(X8:BB8,$X$6:$BB$6,"пл")</f>
        <v>0</v>
      </c>
      <c r="BP8" s="408">
        <f ca="1">IF(BM8&lt;0,BO8*-1, BM8-BO8)</f>
        <v>0</v>
      </c>
      <c r="BQ8" s="296">
        <f ca="1">IFERROR(ROUND(BH8*($BG$3+$BG$2)-SUM(C8:E8), 1),0)</f>
        <v>0</v>
      </c>
      <c r="BR8" s="403"/>
    </row>
    <row r="9" spans="1:82" s="6" customFormat="1" x14ac:dyDescent="0.25">
      <c r="A9" s="384" t="s">
        <v>118</v>
      </c>
      <c r="B9" s="328" t="s">
        <v>340</v>
      </c>
      <c r="C9" s="192"/>
      <c r="D9" s="93"/>
      <c r="E9" s="93"/>
      <c r="F9" s="315"/>
      <c r="G9" s="316">
        <v>1.2</v>
      </c>
      <c r="H9" s="317">
        <f t="shared" ref="H8:H9" si="10">IFERROR(ROUND(SUM(C9:E9)*F9/G9,0),0)</f>
        <v>0</v>
      </c>
      <c r="I9" s="394"/>
      <c r="J9" s="191"/>
      <c r="K9" s="290">
        <f t="shared" ref="K9:K34" si="11">IF($BJ$3="да",BC9+BD9,IF((H9-I9+J9)&lt;0,0,H9-I9+J9))</f>
        <v>0</v>
      </c>
      <c r="L9" s="289">
        <f t="shared" ref="L8:L34" si="12">G9*K9</f>
        <v>0</v>
      </c>
      <c r="M9" s="34">
        <f t="shared" si="1"/>
        <v>0</v>
      </c>
      <c r="N9" s="5">
        <f t="shared" si="2"/>
        <v>0</v>
      </c>
      <c r="O9" s="61"/>
      <c r="P9" s="70"/>
      <c r="Q9" s="71" t="str">
        <f t="shared" si="3"/>
        <v/>
      </c>
      <c r="R9" s="155">
        <f t="shared" si="4"/>
        <v>1.2E-4</v>
      </c>
      <c r="S9" s="68">
        <f t="shared" ref="S9:S34" si="13">IF(T9=0,0.0001,IFERROR(T9/$N$2,0.0001))</f>
        <v>1E-4</v>
      </c>
      <c r="T9" s="66"/>
      <c r="U9" s="66">
        <f t="shared" ref="U9:U34" si="14">T9*$O$1</f>
        <v>0</v>
      </c>
      <c r="V9" s="67">
        <f t="shared" ref="V9:V34" si="15">IFERROR(W9/U9,0)</f>
        <v>0</v>
      </c>
      <c r="W9" s="26">
        <f t="shared" si="5"/>
        <v>0</v>
      </c>
      <c r="X9" s="44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306"/>
      <c r="BC9" s="311">
        <f t="shared" ref="BC9:BC34" ca="1" si="16">SUMIFS(X9:BB9,$X$6:$BB$6,"ф")</f>
        <v>0</v>
      </c>
      <c r="BD9" s="312">
        <f t="shared" ref="BD9:BD34" ca="1" si="17">SUMIFS(X9:BB9,$X$6:$BB$6,"пл")</f>
        <v>0</v>
      </c>
      <c r="BF9" s="61">
        <f t="shared" ref="BF8:BF34" si="18">IFERROR(SUM(C9:E9)/$N$4,0)</f>
        <v>0</v>
      </c>
      <c r="BG9" s="214"/>
      <c r="BH9" s="305">
        <f t="shared" ca="1" si="6"/>
        <v>0</v>
      </c>
      <c r="BI9" s="218">
        <f t="shared" ca="1" si="7"/>
        <v>0</v>
      </c>
      <c r="BJ9" s="217"/>
      <c r="BK9" s="215">
        <f t="shared" ref="BK9:BK34" ca="1" si="19">IFERROR(BJ9/BI9,0)</f>
        <v>0</v>
      </c>
      <c r="BL9" s="61">
        <f t="shared" si="8"/>
        <v>0</v>
      </c>
      <c r="BM9" s="218">
        <f t="shared" ref="BM9:BM34" ca="1" si="20">IFERROR(IF(BI9*BG$3-BJ9+BL9&lt;0,0,BI9*BG$3-BJ9+BL9),0)</f>
        <v>0</v>
      </c>
      <c r="BN9" s="216">
        <f t="shared" ref="BN9:BN34" ca="1" si="21">IFERROR(BM9/$BG$3,0)</f>
        <v>0</v>
      </c>
      <c r="BO9" s="219">
        <f t="shared" ca="1" si="9"/>
        <v>0</v>
      </c>
      <c r="BP9" s="408">
        <f t="shared" ref="BP9:BP34" ca="1" si="22">IF(BM9&lt;0,BO9*-1, BM9-BO9)</f>
        <v>0</v>
      </c>
      <c r="BQ9" s="296">
        <f t="shared" ref="BQ8:BQ15" ca="1" si="23">IFERROR(ROUND(BH9*($BG$3+$BG$2)-SUM(C9:E9), 1),0)</f>
        <v>0</v>
      </c>
      <c r="BR9" s="403"/>
    </row>
    <row r="10" spans="1:82" s="6" customFormat="1" x14ac:dyDescent="0.25">
      <c r="A10" s="384" t="s">
        <v>119</v>
      </c>
      <c r="B10" s="325" t="s">
        <v>324</v>
      </c>
      <c r="C10" s="192"/>
      <c r="D10" s="93"/>
      <c r="E10" s="93"/>
      <c r="F10" s="318">
        <v>0.66700000000000004</v>
      </c>
      <c r="G10" s="316">
        <v>0.95</v>
      </c>
      <c r="H10" s="317">
        <f>IFERROR(ROUND(SUM(C10:E10)*F10/G10,0),0)</f>
        <v>0</v>
      </c>
      <c r="I10" s="394"/>
      <c r="J10" s="191"/>
      <c r="K10" s="290">
        <f>IF($BJ$3="да",BC10+BD10,IF((H10-I10+J10)&lt;0,0,H10-I10+J10))</f>
        <v>0</v>
      </c>
      <c r="L10" s="289">
        <f t="shared" si="12"/>
        <v>0</v>
      </c>
      <c r="M10" s="34">
        <f t="shared" si="1"/>
        <v>0</v>
      </c>
      <c r="N10" s="5">
        <f t="shared" si="2"/>
        <v>0</v>
      </c>
      <c r="O10" s="61"/>
      <c r="P10" s="70"/>
      <c r="Q10" s="71" t="str">
        <f>IFERROR(P10/L10,"")</f>
        <v/>
      </c>
      <c r="R10" s="68">
        <f t="shared" si="4"/>
        <v>10.363636363636362</v>
      </c>
      <c r="S10" s="68">
        <f>IF(T10=0,0.0001,IFERROR(T10/$N$2,0.0001))</f>
        <v>10.909090909090908</v>
      </c>
      <c r="T10" s="66">
        <v>120</v>
      </c>
      <c r="U10" s="66">
        <f>T10*$O$1</f>
        <v>420</v>
      </c>
      <c r="V10" s="67">
        <f t="shared" si="15"/>
        <v>0</v>
      </c>
      <c r="W10" s="26">
        <f>IF($BJ$3="да", BP10, K10-SUM(X10:BB10))</f>
        <v>0</v>
      </c>
      <c r="X10" s="44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306"/>
      <c r="BC10" s="311">
        <f t="shared" ca="1" si="16"/>
        <v>0</v>
      </c>
      <c r="BD10" s="312">
        <f t="shared" ca="1" si="17"/>
        <v>0</v>
      </c>
      <c r="BF10" s="61">
        <f>IFERROR(SUM(C10:E10)/$N$4,0)</f>
        <v>0</v>
      </c>
      <c r="BG10" s="214"/>
      <c r="BH10" s="216">
        <f ca="1">IFERROR(BG10/$BG$2,0)</f>
        <v>0</v>
      </c>
      <c r="BI10" s="218">
        <f t="shared" ca="1" si="7"/>
        <v>0</v>
      </c>
      <c r="BJ10" s="217"/>
      <c r="BK10" s="215">
        <f ca="1">IFERROR(BJ10/BI10,0)</f>
        <v>0</v>
      </c>
      <c r="BL10" s="61">
        <f t="shared" si="8"/>
        <v>0</v>
      </c>
      <c r="BM10" s="218">
        <f t="shared" ca="1" si="20"/>
        <v>0</v>
      </c>
      <c r="BN10" s="216">
        <f t="shared" ca="1" si="21"/>
        <v>0</v>
      </c>
      <c r="BO10" s="219">
        <f ca="1">SUMIFS(X10:BB10,$X$6:$BB$6,"пл")</f>
        <v>0</v>
      </c>
      <c r="BP10" s="408">
        <f t="shared" ca="1" si="22"/>
        <v>0</v>
      </c>
      <c r="BQ10" s="296">
        <f ca="1">IFERROR(ROUND(BH10*($BG$3+$BG$2)-SUM(C10:E10), 1),0)</f>
        <v>0</v>
      </c>
      <c r="BR10" s="403"/>
    </row>
    <row r="11" spans="1:82" s="6" customFormat="1" x14ac:dyDescent="0.25">
      <c r="A11" s="384" t="s">
        <v>120</v>
      </c>
      <c r="B11" s="325" t="s">
        <v>325</v>
      </c>
      <c r="C11" s="192"/>
      <c r="D11" s="93"/>
      <c r="E11" s="93"/>
      <c r="F11" s="318">
        <v>0.80800000000000005</v>
      </c>
      <c r="G11" s="316">
        <v>1.55</v>
      </c>
      <c r="H11" s="317">
        <f t="shared" ref="H11:H34" si="24">IFERROR(ROUND(SUM(C11:E11)*F11/G11,0),0)</f>
        <v>0</v>
      </c>
      <c r="I11" s="394"/>
      <c r="J11" s="191"/>
      <c r="K11" s="290">
        <f t="shared" si="11"/>
        <v>0</v>
      </c>
      <c r="L11" s="289">
        <f t="shared" si="12"/>
        <v>0</v>
      </c>
      <c r="M11" s="34">
        <f t="shared" si="1"/>
        <v>0</v>
      </c>
      <c r="N11" s="5">
        <f t="shared" si="2"/>
        <v>0</v>
      </c>
      <c r="O11" s="61"/>
      <c r="P11" s="70"/>
      <c r="Q11" s="71" t="str">
        <f t="shared" si="3"/>
        <v/>
      </c>
      <c r="R11" s="155">
        <f t="shared" si="4"/>
        <v>11.272727272727273</v>
      </c>
      <c r="S11" s="68">
        <f t="shared" si="13"/>
        <v>7.2727272727272725</v>
      </c>
      <c r="T11" s="66">
        <v>80</v>
      </c>
      <c r="U11" s="66">
        <f t="shared" si="14"/>
        <v>280</v>
      </c>
      <c r="V11" s="67">
        <f t="shared" si="15"/>
        <v>0</v>
      </c>
      <c r="W11" s="26">
        <f t="shared" si="5"/>
        <v>0</v>
      </c>
      <c r="X11" s="44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306"/>
      <c r="BC11" s="311">
        <f t="shared" ca="1" si="16"/>
        <v>0</v>
      </c>
      <c r="BD11" s="312">
        <f t="shared" ca="1" si="17"/>
        <v>0</v>
      </c>
      <c r="BF11" s="61">
        <f t="shared" si="18"/>
        <v>0</v>
      </c>
      <c r="BG11" s="214"/>
      <c r="BH11" s="305">
        <f t="shared" ref="BH11:BH34" ca="1" si="25">IFERROR(BG11/$BG$2,0)</f>
        <v>0</v>
      </c>
      <c r="BI11" s="218">
        <f t="shared" ca="1" si="7"/>
        <v>0</v>
      </c>
      <c r="BJ11" s="217"/>
      <c r="BK11" s="215">
        <f t="shared" ca="1" si="19"/>
        <v>0</v>
      </c>
      <c r="BL11" s="61">
        <f t="shared" si="8"/>
        <v>0</v>
      </c>
      <c r="BM11" s="218">
        <f t="shared" ca="1" si="20"/>
        <v>0</v>
      </c>
      <c r="BN11" s="216">
        <f t="shared" ca="1" si="21"/>
        <v>0</v>
      </c>
      <c r="BO11" s="219">
        <f t="shared" ca="1" si="9"/>
        <v>0</v>
      </c>
      <c r="BP11" s="408">
        <f ca="1">IF(BM11&lt;0,BO11*-1, BM11-BO11)</f>
        <v>0</v>
      </c>
      <c r="BQ11" s="296">
        <f t="shared" ca="1" si="23"/>
        <v>0</v>
      </c>
      <c r="BR11" s="403"/>
    </row>
    <row r="12" spans="1:82" s="6" customFormat="1" x14ac:dyDescent="0.25">
      <c r="A12" s="384" t="s">
        <v>121</v>
      </c>
      <c r="B12" s="328"/>
      <c r="C12" s="192"/>
      <c r="D12" s="93"/>
      <c r="E12" s="93"/>
      <c r="F12" s="318"/>
      <c r="G12" s="316">
        <v>1.22</v>
      </c>
      <c r="H12" s="317">
        <f t="shared" si="24"/>
        <v>0</v>
      </c>
      <c r="I12" s="394"/>
      <c r="J12" s="191"/>
      <c r="K12" s="290">
        <f t="shared" si="11"/>
        <v>0</v>
      </c>
      <c r="L12" s="289">
        <f t="shared" si="12"/>
        <v>0</v>
      </c>
      <c r="M12" s="34">
        <f t="shared" si="1"/>
        <v>0</v>
      </c>
      <c r="N12" s="5">
        <f t="shared" si="2"/>
        <v>0</v>
      </c>
      <c r="O12" s="61"/>
      <c r="P12" s="70"/>
      <c r="Q12" s="71" t="str">
        <f t="shared" si="3"/>
        <v/>
      </c>
      <c r="R12" s="155">
        <f t="shared" si="4"/>
        <v>13.309090909090909</v>
      </c>
      <c r="S12" s="68">
        <f t="shared" si="13"/>
        <v>10.909090909090908</v>
      </c>
      <c r="T12" s="66">
        <v>120</v>
      </c>
      <c r="U12" s="66">
        <f t="shared" si="14"/>
        <v>420</v>
      </c>
      <c r="V12" s="67">
        <f t="shared" si="15"/>
        <v>0</v>
      </c>
      <c r="W12" s="26">
        <f t="shared" si="5"/>
        <v>0</v>
      </c>
      <c r="X12" s="44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306"/>
      <c r="BC12" s="311">
        <f t="shared" ca="1" si="16"/>
        <v>0</v>
      </c>
      <c r="BD12" s="312">
        <f t="shared" ca="1" si="17"/>
        <v>0</v>
      </c>
      <c r="BF12" s="61">
        <f t="shared" si="18"/>
        <v>0</v>
      </c>
      <c r="BG12" s="214"/>
      <c r="BH12" s="305">
        <f t="shared" ca="1" si="25"/>
        <v>0</v>
      </c>
      <c r="BI12" s="218">
        <f t="shared" ca="1" si="7"/>
        <v>0</v>
      </c>
      <c r="BJ12" s="217"/>
      <c r="BK12" s="215">
        <f t="shared" ca="1" si="19"/>
        <v>0</v>
      </c>
      <c r="BL12" s="61">
        <f t="shared" si="8"/>
        <v>0</v>
      </c>
      <c r="BM12" s="218">
        <f t="shared" ca="1" si="20"/>
        <v>0</v>
      </c>
      <c r="BN12" s="216">
        <f ca="1">IFERROR(BM12/$BG$3,0)</f>
        <v>0</v>
      </c>
      <c r="BO12" s="219">
        <f t="shared" ca="1" si="9"/>
        <v>0</v>
      </c>
      <c r="BP12" s="408">
        <f t="shared" ca="1" si="22"/>
        <v>0</v>
      </c>
      <c r="BQ12" s="296">
        <f t="shared" ca="1" si="23"/>
        <v>0</v>
      </c>
      <c r="BR12" s="403"/>
    </row>
    <row r="13" spans="1:82" s="6" customFormat="1" x14ac:dyDescent="0.25">
      <c r="A13" s="384" t="s">
        <v>122</v>
      </c>
      <c r="B13" s="325" t="s">
        <v>326</v>
      </c>
      <c r="C13" s="192"/>
      <c r="D13" s="93"/>
      <c r="E13" s="93"/>
      <c r="F13" s="318">
        <v>0.79600000000000004</v>
      </c>
      <c r="G13" s="316">
        <v>1.35</v>
      </c>
      <c r="H13" s="317">
        <f t="shared" si="24"/>
        <v>0</v>
      </c>
      <c r="I13" s="394"/>
      <c r="J13" s="191"/>
      <c r="K13" s="290">
        <f t="shared" si="11"/>
        <v>0</v>
      </c>
      <c r="L13" s="289">
        <f t="shared" si="12"/>
        <v>0</v>
      </c>
      <c r="M13" s="34">
        <f t="shared" si="1"/>
        <v>0</v>
      </c>
      <c r="N13" s="5">
        <f t="shared" si="2"/>
        <v>0</v>
      </c>
      <c r="O13" s="61"/>
      <c r="P13" s="70"/>
      <c r="Q13" s="71" t="str">
        <f t="shared" si="3"/>
        <v/>
      </c>
      <c r="R13" s="155">
        <f t="shared" si="4"/>
        <v>14.727272727272727</v>
      </c>
      <c r="S13" s="68">
        <f t="shared" si="13"/>
        <v>10.909090909090908</v>
      </c>
      <c r="T13" s="66">
        <v>120</v>
      </c>
      <c r="U13" s="66">
        <f t="shared" si="14"/>
        <v>420</v>
      </c>
      <c r="V13" s="67">
        <f t="shared" si="15"/>
        <v>0</v>
      </c>
      <c r="W13" s="26">
        <f t="shared" si="5"/>
        <v>0</v>
      </c>
      <c r="X13" s="44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306"/>
      <c r="BC13" s="311">
        <f t="shared" ca="1" si="16"/>
        <v>0</v>
      </c>
      <c r="BD13" s="312">
        <f t="shared" ca="1" si="17"/>
        <v>0</v>
      </c>
      <c r="BF13" s="61">
        <f t="shared" si="18"/>
        <v>0</v>
      </c>
      <c r="BG13" s="214"/>
      <c r="BH13" s="305">
        <f t="shared" ca="1" si="25"/>
        <v>0</v>
      </c>
      <c r="BI13" s="218">
        <f t="shared" ca="1" si="7"/>
        <v>0</v>
      </c>
      <c r="BJ13" s="217"/>
      <c r="BK13" s="215">
        <f t="shared" ca="1" si="19"/>
        <v>0</v>
      </c>
      <c r="BL13" s="61">
        <f t="shared" si="8"/>
        <v>0</v>
      </c>
      <c r="BM13" s="218">
        <f t="shared" ca="1" si="20"/>
        <v>0</v>
      </c>
      <c r="BN13" s="216">
        <f t="shared" ca="1" si="21"/>
        <v>0</v>
      </c>
      <c r="BO13" s="219">
        <f t="shared" ca="1" si="9"/>
        <v>0</v>
      </c>
      <c r="BP13" s="408">
        <f t="shared" ca="1" si="22"/>
        <v>0</v>
      </c>
      <c r="BQ13" s="296">
        <f t="shared" ca="1" si="23"/>
        <v>0</v>
      </c>
      <c r="BR13" s="403"/>
    </row>
    <row r="14" spans="1:82" s="6" customFormat="1" x14ac:dyDescent="0.25">
      <c r="A14" s="384" t="s">
        <v>123</v>
      </c>
      <c r="B14" s="328"/>
      <c r="C14" s="192"/>
      <c r="D14" s="93"/>
      <c r="E14" s="93"/>
      <c r="F14" s="318"/>
      <c r="G14" s="316">
        <v>1.165</v>
      </c>
      <c r="H14" s="317">
        <f t="shared" si="24"/>
        <v>0</v>
      </c>
      <c r="I14" s="394"/>
      <c r="J14" s="191"/>
      <c r="K14" s="290">
        <f t="shared" si="11"/>
        <v>0</v>
      </c>
      <c r="L14" s="289">
        <f t="shared" si="12"/>
        <v>0</v>
      </c>
      <c r="M14" s="34">
        <f t="shared" si="1"/>
        <v>0</v>
      </c>
      <c r="N14" s="5">
        <f t="shared" si="2"/>
        <v>0</v>
      </c>
      <c r="O14" s="61"/>
      <c r="P14" s="70"/>
      <c r="Q14" s="71" t="str">
        <f t="shared" si="3"/>
        <v/>
      </c>
      <c r="R14" s="155">
        <f t="shared" si="4"/>
        <v>12.709090909090909</v>
      </c>
      <c r="S14" s="68">
        <f t="shared" si="13"/>
        <v>10.909090909090908</v>
      </c>
      <c r="T14" s="66">
        <v>120</v>
      </c>
      <c r="U14" s="66">
        <f t="shared" si="14"/>
        <v>420</v>
      </c>
      <c r="V14" s="67">
        <f t="shared" si="15"/>
        <v>0</v>
      </c>
      <c r="W14" s="26">
        <f t="shared" si="5"/>
        <v>0</v>
      </c>
      <c r="X14" s="44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306"/>
      <c r="BC14" s="311">
        <f t="shared" ca="1" si="16"/>
        <v>0</v>
      </c>
      <c r="BD14" s="312">
        <f t="shared" ca="1" si="17"/>
        <v>0</v>
      </c>
      <c r="BF14" s="61">
        <f t="shared" si="18"/>
        <v>0</v>
      </c>
      <c r="BG14" s="214"/>
      <c r="BH14" s="305">
        <f t="shared" ca="1" si="25"/>
        <v>0</v>
      </c>
      <c r="BI14" s="218">
        <f t="shared" ca="1" si="7"/>
        <v>0</v>
      </c>
      <c r="BJ14" s="217"/>
      <c r="BK14" s="215">
        <f t="shared" ca="1" si="19"/>
        <v>0</v>
      </c>
      <c r="BL14" s="61">
        <f t="shared" si="8"/>
        <v>0</v>
      </c>
      <c r="BM14" s="218">
        <f t="shared" ca="1" si="20"/>
        <v>0</v>
      </c>
      <c r="BN14" s="216">
        <f t="shared" ca="1" si="21"/>
        <v>0</v>
      </c>
      <c r="BO14" s="219">
        <f t="shared" ca="1" si="9"/>
        <v>0</v>
      </c>
      <c r="BP14" s="408">
        <f t="shared" ca="1" si="22"/>
        <v>0</v>
      </c>
      <c r="BQ14" s="296">
        <f t="shared" ca="1" si="23"/>
        <v>0</v>
      </c>
      <c r="BR14" s="403"/>
    </row>
    <row r="15" spans="1:82" s="6" customFormat="1" x14ac:dyDescent="0.25">
      <c r="A15" s="384" t="s">
        <v>124</v>
      </c>
      <c r="B15" s="325" t="s">
        <v>327</v>
      </c>
      <c r="C15" s="192"/>
      <c r="D15" s="93"/>
      <c r="E15" s="93"/>
      <c r="F15" s="318">
        <v>0.88100000000000001</v>
      </c>
      <c r="G15" s="316">
        <v>1.1000000000000001</v>
      </c>
      <c r="H15" s="317">
        <f t="shared" si="24"/>
        <v>0</v>
      </c>
      <c r="I15" s="394"/>
      <c r="J15" s="191"/>
      <c r="K15" s="290">
        <f t="shared" si="11"/>
        <v>0</v>
      </c>
      <c r="L15" s="289">
        <f t="shared" si="12"/>
        <v>0</v>
      </c>
      <c r="M15" s="34">
        <f t="shared" si="1"/>
        <v>0</v>
      </c>
      <c r="N15" s="5">
        <f t="shared" si="2"/>
        <v>0</v>
      </c>
      <c r="O15" s="61"/>
      <c r="P15" s="70"/>
      <c r="Q15" s="71" t="str">
        <f t="shared" si="3"/>
        <v/>
      </c>
      <c r="R15" s="155">
        <f t="shared" si="4"/>
        <v>8</v>
      </c>
      <c r="S15" s="68">
        <f t="shared" si="13"/>
        <v>7.2727272727272725</v>
      </c>
      <c r="T15" s="66">
        <v>80</v>
      </c>
      <c r="U15" s="66">
        <f t="shared" si="14"/>
        <v>280</v>
      </c>
      <c r="V15" s="67">
        <f t="shared" si="15"/>
        <v>0</v>
      </c>
      <c r="W15" s="26">
        <f t="shared" si="5"/>
        <v>0</v>
      </c>
      <c r="X15" s="44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306"/>
      <c r="BC15" s="311">
        <f t="shared" ca="1" si="16"/>
        <v>0</v>
      </c>
      <c r="BD15" s="312">
        <f t="shared" ca="1" si="17"/>
        <v>0</v>
      </c>
      <c r="BF15" s="61">
        <f t="shared" si="18"/>
        <v>0</v>
      </c>
      <c r="BG15" s="214"/>
      <c r="BH15" s="305">
        <f ca="1">IFERROR(BG15/$BG$2,0)</f>
        <v>0</v>
      </c>
      <c r="BI15" s="218">
        <f t="shared" ca="1" si="7"/>
        <v>0</v>
      </c>
      <c r="BJ15" s="217"/>
      <c r="BK15" s="215">
        <f t="shared" ca="1" si="19"/>
        <v>0</v>
      </c>
      <c r="BL15" s="61">
        <f t="shared" si="8"/>
        <v>0</v>
      </c>
      <c r="BM15" s="218">
        <f t="shared" ca="1" si="20"/>
        <v>0</v>
      </c>
      <c r="BN15" s="216">
        <f t="shared" ca="1" si="21"/>
        <v>0</v>
      </c>
      <c r="BO15" s="219">
        <f t="shared" ca="1" si="9"/>
        <v>0</v>
      </c>
      <c r="BP15" s="408">
        <f t="shared" ca="1" si="22"/>
        <v>0</v>
      </c>
      <c r="BQ15" s="296">
        <f t="shared" ca="1" si="23"/>
        <v>0</v>
      </c>
      <c r="BR15" s="403"/>
    </row>
    <row r="16" spans="1:82" s="6" customFormat="1" x14ac:dyDescent="0.25">
      <c r="A16" s="384" t="s">
        <v>125</v>
      </c>
      <c r="B16" s="325" t="s">
        <v>328</v>
      </c>
      <c r="C16" s="192"/>
      <c r="D16" s="93"/>
      <c r="E16" s="93"/>
      <c r="F16" s="318">
        <v>0.82299999999999995</v>
      </c>
      <c r="G16" s="316">
        <v>1.7</v>
      </c>
      <c r="H16" s="317">
        <f t="shared" si="24"/>
        <v>0</v>
      </c>
      <c r="I16" s="394"/>
      <c r="J16" s="191"/>
      <c r="K16" s="290">
        <f t="shared" si="11"/>
        <v>0</v>
      </c>
      <c r="L16" s="289">
        <f t="shared" si="12"/>
        <v>0</v>
      </c>
      <c r="M16" s="34">
        <f t="shared" si="1"/>
        <v>0</v>
      </c>
      <c r="N16" s="5">
        <f t="shared" si="2"/>
        <v>0</v>
      </c>
      <c r="O16" s="61"/>
      <c r="P16" s="70"/>
      <c r="Q16" s="71" t="str">
        <f t="shared" si="3"/>
        <v/>
      </c>
      <c r="R16" s="155">
        <f t="shared" si="4"/>
        <v>9.2727272727272716</v>
      </c>
      <c r="S16" s="68">
        <f t="shared" si="13"/>
        <v>5.4545454545454541</v>
      </c>
      <c r="T16" s="66">
        <v>60</v>
      </c>
      <c r="U16" s="66">
        <f t="shared" si="14"/>
        <v>210</v>
      </c>
      <c r="V16" s="67">
        <f t="shared" si="15"/>
        <v>0</v>
      </c>
      <c r="W16" s="26">
        <f>IF($BJ$3="да", BP16, K16-SUM(X16:BB16))</f>
        <v>0</v>
      </c>
      <c r="X16" s="44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306"/>
      <c r="BC16" s="311">
        <f t="shared" ca="1" si="16"/>
        <v>0</v>
      </c>
      <c r="BD16" s="312">
        <f t="shared" ca="1" si="17"/>
        <v>0</v>
      </c>
      <c r="BF16" s="61">
        <f t="shared" si="18"/>
        <v>0</v>
      </c>
      <c r="BG16" s="214"/>
      <c r="BH16" s="305">
        <f ca="1">IFERROR(BG16/$BG$2,0)</f>
        <v>0</v>
      </c>
      <c r="BI16" s="218">
        <f t="shared" ca="1" si="7"/>
        <v>0</v>
      </c>
      <c r="BJ16" s="217"/>
      <c r="BK16" s="215">
        <f t="shared" ca="1" si="19"/>
        <v>0</v>
      </c>
      <c r="BL16" s="61">
        <f t="shared" si="8"/>
        <v>0</v>
      </c>
      <c r="BM16" s="218">
        <f t="shared" ca="1" si="20"/>
        <v>0</v>
      </c>
      <c r="BN16" s="216">
        <f t="shared" ca="1" si="21"/>
        <v>0</v>
      </c>
      <c r="BO16" s="219">
        <f t="shared" ca="1" si="9"/>
        <v>0</v>
      </c>
      <c r="BP16" s="408">
        <f t="shared" ca="1" si="22"/>
        <v>0</v>
      </c>
      <c r="BQ16" s="296">
        <f ca="1">IFERROR(ROUND(BH16*($BG$3+$BG$2)-SUM(C16:E16), 1),0)</f>
        <v>0</v>
      </c>
      <c r="BR16" s="403"/>
    </row>
    <row r="17" spans="1:70" s="6" customFormat="1" x14ac:dyDescent="0.25">
      <c r="A17" s="384" t="s">
        <v>126</v>
      </c>
      <c r="B17" s="325" t="s">
        <v>329</v>
      </c>
      <c r="C17" s="192"/>
      <c r="D17" s="93"/>
      <c r="E17" s="93"/>
      <c r="F17" s="318">
        <v>0.83799999999999997</v>
      </c>
      <c r="G17" s="316">
        <v>1.4</v>
      </c>
      <c r="H17" s="317">
        <f t="shared" si="24"/>
        <v>0</v>
      </c>
      <c r="I17" s="394"/>
      <c r="J17" s="191"/>
      <c r="K17" s="290">
        <f t="shared" si="11"/>
        <v>0</v>
      </c>
      <c r="L17" s="289">
        <f t="shared" si="12"/>
        <v>0</v>
      </c>
      <c r="M17" s="34">
        <f t="shared" si="1"/>
        <v>0</v>
      </c>
      <c r="N17" s="5">
        <f t="shared" si="2"/>
        <v>0</v>
      </c>
      <c r="O17" s="61"/>
      <c r="P17" s="70"/>
      <c r="Q17" s="71" t="str">
        <f t="shared" si="3"/>
        <v/>
      </c>
      <c r="R17" s="155">
        <f t="shared" si="4"/>
        <v>7.6363636363636349</v>
      </c>
      <c r="S17" s="68">
        <f t="shared" si="13"/>
        <v>5.4545454545454541</v>
      </c>
      <c r="T17" s="66">
        <v>60</v>
      </c>
      <c r="U17" s="66">
        <f t="shared" si="14"/>
        <v>210</v>
      </c>
      <c r="V17" s="67">
        <f t="shared" si="15"/>
        <v>0</v>
      </c>
      <c r="W17" s="26">
        <f t="shared" ref="W17:W34" si="26">IF($BJ$3="да", BP17, K17-SUM(X17:BB17))</f>
        <v>0</v>
      </c>
      <c r="X17" s="44"/>
      <c r="Y17" s="45"/>
      <c r="Z17" s="44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306"/>
      <c r="BC17" s="311">
        <f t="shared" ca="1" si="16"/>
        <v>0</v>
      </c>
      <c r="BD17" s="312">
        <f t="shared" ca="1" si="17"/>
        <v>0</v>
      </c>
      <c r="BF17" s="61">
        <f t="shared" si="18"/>
        <v>0</v>
      </c>
      <c r="BG17" s="214"/>
      <c r="BH17" s="305">
        <f t="shared" ca="1" si="25"/>
        <v>0</v>
      </c>
      <c r="BI17" s="218">
        <f t="shared" ca="1" si="7"/>
        <v>0</v>
      </c>
      <c r="BJ17" s="217"/>
      <c r="BK17" s="215">
        <f t="shared" ca="1" si="19"/>
        <v>0</v>
      </c>
      <c r="BL17" s="61">
        <f t="shared" si="8"/>
        <v>0</v>
      </c>
      <c r="BM17" s="218">
        <f t="shared" ca="1" si="20"/>
        <v>0</v>
      </c>
      <c r="BN17" s="216">
        <f t="shared" ca="1" si="21"/>
        <v>0</v>
      </c>
      <c r="BO17" s="219">
        <f t="shared" ca="1" si="9"/>
        <v>0</v>
      </c>
      <c r="BP17" s="408">
        <f t="shared" ca="1" si="22"/>
        <v>0</v>
      </c>
      <c r="BQ17" s="296">
        <f t="shared" ref="BQ17:BQ34" ca="1" si="27">IFERROR(ROUND(BH17*($BG$3+$BG$2)-SUM(C17:E17), 1),0)</f>
        <v>0</v>
      </c>
      <c r="BR17" s="403"/>
    </row>
    <row r="18" spans="1:70" s="6" customFormat="1" x14ac:dyDescent="0.25">
      <c r="A18" s="384" t="s">
        <v>127</v>
      </c>
      <c r="B18" s="325" t="s">
        <v>330</v>
      </c>
      <c r="C18" s="192"/>
      <c r="D18" s="93"/>
      <c r="E18" s="93"/>
      <c r="F18" s="318">
        <v>0.84499999999999997</v>
      </c>
      <c r="G18" s="316">
        <v>1</v>
      </c>
      <c r="H18" s="317">
        <f t="shared" si="24"/>
        <v>0</v>
      </c>
      <c r="I18" s="394"/>
      <c r="J18" s="191"/>
      <c r="K18" s="290">
        <f t="shared" si="11"/>
        <v>0</v>
      </c>
      <c r="L18" s="289">
        <f t="shared" si="12"/>
        <v>0</v>
      </c>
      <c r="M18" s="34">
        <f t="shared" si="1"/>
        <v>0</v>
      </c>
      <c r="N18" s="5">
        <f t="shared" si="2"/>
        <v>0</v>
      </c>
      <c r="O18" s="61"/>
      <c r="P18" s="70"/>
      <c r="Q18" s="71" t="str">
        <f t="shared" si="3"/>
        <v/>
      </c>
      <c r="R18" s="155">
        <f t="shared" si="4"/>
        <v>5.4545454545454541</v>
      </c>
      <c r="S18" s="68">
        <f t="shared" si="13"/>
        <v>5.4545454545454541</v>
      </c>
      <c r="T18" s="66">
        <v>60</v>
      </c>
      <c r="U18" s="66">
        <f t="shared" si="14"/>
        <v>210</v>
      </c>
      <c r="V18" s="67">
        <f t="shared" si="15"/>
        <v>0</v>
      </c>
      <c r="W18" s="26">
        <f t="shared" si="26"/>
        <v>0</v>
      </c>
      <c r="X18" s="44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306"/>
      <c r="BC18" s="311">
        <f t="shared" ca="1" si="16"/>
        <v>0</v>
      </c>
      <c r="BD18" s="312">
        <f t="shared" ca="1" si="17"/>
        <v>0</v>
      </c>
      <c r="BF18" s="61">
        <f t="shared" si="18"/>
        <v>0</v>
      </c>
      <c r="BG18" s="214"/>
      <c r="BH18" s="305">
        <f t="shared" ca="1" si="25"/>
        <v>0</v>
      </c>
      <c r="BI18" s="218">
        <f t="shared" ca="1" si="7"/>
        <v>0</v>
      </c>
      <c r="BJ18" s="217"/>
      <c r="BK18" s="215">
        <f t="shared" ca="1" si="19"/>
        <v>0</v>
      </c>
      <c r="BL18" s="61">
        <f t="shared" si="8"/>
        <v>0</v>
      </c>
      <c r="BM18" s="218">
        <f t="shared" ca="1" si="20"/>
        <v>0</v>
      </c>
      <c r="BN18" s="216">
        <f t="shared" ca="1" si="21"/>
        <v>0</v>
      </c>
      <c r="BO18" s="219">
        <f t="shared" ca="1" si="9"/>
        <v>0</v>
      </c>
      <c r="BP18" s="408">
        <f t="shared" ca="1" si="22"/>
        <v>0</v>
      </c>
      <c r="BQ18" s="296">
        <f t="shared" ca="1" si="27"/>
        <v>0</v>
      </c>
      <c r="BR18" s="403"/>
    </row>
    <row r="19" spans="1:70" s="6" customFormat="1" x14ac:dyDescent="0.25">
      <c r="A19" s="384" t="s">
        <v>128</v>
      </c>
      <c r="B19" s="328"/>
      <c r="C19" s="193"/>
      <c r="D19" s="94"/>
      <c r="E19" s="288"/>
      <c r="F19" s="318"/>
      <c r="G19" s="316">
        <v>1.1499999999999999</v>
      </c>
      <c r="H19" s="317">
        <f t="shared" si="24"/>
        <v>0</v>
      </c>
      <c r="I19" s="394"/>
      <c r="J19" s="191"/>
      <c r="K19" s="290">
        <f t="shared" si="11"/>
        <v>0</v>
      </c>
      <c r="L19" s="289">
        <f t="shared" si="12"/>
        <v>0</v>
      </c>
      <c r="M19" s="35">
        <f t="shared" si="1"/>
        <v>0</v>
      </c>
      <c r="N19" s="7">
        <f t="shared" si="2"/>
        <v>0</v>
      </c>
      <c r="O19" s="62"/>
      <c r="P19" s="70"/>
      <c r="Q19" s="71" t="str">
        <f t="shared" si="3"/>
        <v/>
      </c>
      <c r="R19" s="155">
        <f t="shared" si="4"/>
        <v>8.3636363636363633</v>
      </c>
      <c r="S19" s="68">
        <f t="shared" si="13"/>
        <v>7.2727272727272725</v>
      </c>
      <c r="T19" s="66">
        <v>80</v>
      </c>
      <c r="U19" s="66">
        <f t="shared" si="14"/>
        <v>280</v>
      </c>
      <c r="V19" s="67">
        <f t="shared" si="15"/>
        <v>0</v>
      </c>
      <c r="W19" s="26">
        <f t="shared" si="26"/>
        <v>0</v>
      </c>
      <c r="X19" s="44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306"/>
      <c r="BC19" s="311">
        <f t="shared" ca="1" si="16"/>
        <v>0</v>
      </c>
      <c r="BD19" s="312">
        <f t="shared" ca="1" si="17"/>
        <v>0</v>
      </c>
      <c r="BF19" s="61">
        <f t="shared" si="18"/>
        <v>0</v>
      </c>
      <c r="BG19" s="214"/>
      <c r="BH19" s="305">
        <f t="shared" ca="1" si="25"/>
        <v>0</v>
      </c>
      <c r="BI19" s="218">
        <f t="shared" ca="1" si="7"/>
        <v>0</v>
      </c>
      <c r="BJ19" s="217"/>
      <c r="BK19" s="215">
        <f t="shared" ca="1" si="19"/>
        <v>0</v>
      </c>
      <c r="BL19" s="61">
        <f t="shared" si="8"/>
        <v>0</v>
      </c>
      <c r="BM19" s="218">
        <f t="shared" ca="1" si="20"/>
        <v>0</v>
      </c>
      <c r="BN19" s="216">
        <f t="shared" ca="1" si="21"/>
        <v>0</v>
      </c>
      <c r="BO19" s="219">
        <f t="shared" ca="1" si="9"/>
        <v>0</v>
      </c>
      <c r="BP19" s="408">
        <f t="shared" ca="1" si="22"/>
        <v>0</v>
      </c>
      <c r="BQ19" s="296">
        <f t="shared" ca="1" si="27"/>
        <v>0</v>
      </c>
      <c r="BR19" s="403"/>
    </row>
    <row r="20" spans="1:70" s="6" customFormat="1" x14ac:dyDescent="0.25">
      <c r="A20" s="384" t="s">
        <v>129</v>
      </c>
      <c r="B20" s="325" t="s">
        <v>331</v>
      </c>
      <c r="C20" s="192"/>
      <c r="D20" s="93"/>
      <c r="E20" s="93"/>
      <c r="F20" s="318">
        <v>0.91</v>
      </c>
      <c r="G20" s="316">
        <v>1.31</v>
      </c>
      <c r="H20" s="317">
        <f t="shared" si="24"/>
        <v>0</v>
      </c>
      <c r="I20" s="394"/>
      <c r="J20" s="191"/>
      <c r="K20" s="290">
        <f t="shared" si="11"/>
        <v>0</v>
      </c>
      <c r="L20" s="289">
        <f t="shared" si="12"/>
        <v>0</v>
      </c>
      <c r="M20" s="34">
        <f t="shared" si="1"/>
        <v>0</v>
      </c>
      <c r="N20" s="5">
        <f t="shared" si="2"/>
        <v>0</v>
      </c>
      <c r="O20" s="61"/>
      <c r="P20" s="70"/>
      <c r="Q20" s="71" t="str">
        <f t="shared" si="3"/>
        <v/>
      </c>
      <c r="R20" s="155">
        <f t="shared" si="4"/>
        <v>7.1454545454545455</v>
      </c>
      <c r="S20" s="68">
        <f t="shared" si="13"/>
        <v>5.4545454545454541</v>
      </c>
      <c r="T20" s="66">
        <v>60</v>
      </c>
      <c r="U20" s="66">
        <f t="shared" si="14"/>
        <v>210</v>
      </c>
      <c r="V20" s="67">
        <f t="shared" si="15"/>
        <v>0</v>
      </c>
      <c r="W20" s="26">
        <f t="shared" si="26"/>
        <v>0</v>
      </c>
      <c r="X20" s="44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306"/>
      <c r="BC20" s="311">
        <f t="shared" ca="1" si="16"/>
        <v>0</v>
      </c>
      <c r="BD20" s="312">
        <f t="shared" ca="1" si="17"/>
        <v>0</v>
      </c>
      <c r="BF20" s="61">
        <f t="shared" si="18"/>
        <v>0</v>
      </c>
      <c r="BG20" s="214"/>
      <c r="BH20" s="305">
        <f t="shared" ca="1" si="25"/>
        <v>0</v>
      </c>
      <c r="BI20" s="218">
        <f t="shared" ca="1" si="7"/>
        <v>0</v>
      </c>
      <c r="BJ20" s="217"/>
      <c r="BK20" s="215">
        <f t="shared" ca="1" si="19"/>
        <v>0</v>
      </c>
      <c r="BL20" s="61">
        <f t="shared" si="8"/>
        <v>0</v>
      </c>
      <c r="BM20" s="218">
        <f t="shared" ca="1" si="20"/>
        <v>0</v>
      </c>
      <c r="BN20" s="216">
        <f t="shared" ca="1" si="21"/>
        <v>0</v>
      </c>
      <c r="BO20" s="219">
        <f t="shared" ca="1" si="9"/>
        <v>0</v>
      </c>
      <c r="BP20" s="408">
        <f t="shared" ca="1" si="22"/>
        <v>0</v>
      </c>
      <c r="BQ20" s="296">
        <f t="shared" ca="1" si="27"/>
        <v>0</v>
      </c>
      <c r="BR20" s="403"/>
    </row>
    <row r="21" spans="1:70" s="6" customFormat="1" x14ac:dyDescent="0.25">
      <c r="A21" s="384" t="s">
        <v>130</v>
      </c>
      <c r="B21" s="325" t="s">
        <v>332</v>
      </c>
      <c r="C21" s="192"/>
      <c r="D21" s="93"/>
      <c r="E21" s="93"/>
      <c r="F21" s="318">
        <v>0.871</v>
      </c>
      <c r="G21" s="316">
        <v>1.37</v>
      </c>
      <c r="H21" s="317">
        <f t="shared" si="24"/>
        <v>0</v>
      </c>
      <c r="I21" s="394"/>
      <c r="J21" s="191"/>
      <c r="K21" s="290">
        <f t="shared" si="11"/>
        <v>0</v>
      </c>
      <c r="L21" s="289">
        <f t="shared" si="12"/>
        <v>0</v>
      </c>
      <c r="M21" s="34">
        <f t="shared" si="1"/>
        <v>0</v>
      </c>
      <c r="N21" s="5">
        <f t="shared" si="2"/>
        <v>0</v>
      </c>
      <c r="O21" s="61"/>
      <c r="P21" s="70"/>
      <c r="Q21" s="71" t="str">
        <f t="shared" si="3"/>
        <v/>
      </c>
      <c r="R21" s="155">
        <f t="shared" si="4"/>
        <v>14.945454545454545</v>
      </c>
      <c r="S21" s="68">
        <f t="shared" si="13"/>
        <v>10.909090909090908</v>
      </c>
      <c r="T21" s="66">
        <v>120</v>
      </c>
      <c r="U21" s="66">
        <f t="shared" si="14"/>
        <v>420</v>
      </c>
      <c r="V21" s="67">
        <f t="shared" si="15"/>
        <v>0</v>
      </c>
      <c r="W21" s="26">
        <f t="shared" si="26"/>
        <v>0</v>
      </c>
      <c r="X21" s="44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306"/>
      <c r="BC21" s="311">
        <f t="shared" ca="1" si="16"/>
        <v>0</v>
      </c>
      <c r="BD21" s="312">
        <f t="shared" ca="1" si="17"/>
        <v>0</v>
      </c>
      <c r="BF21" s="61">
        <f t="shared" si="18"/>
        <v>0</v>
      </c>
      <c r="BG21" s="214"/>
      <c r="BH21" s="305">
        <f t="shared" ca="1" si="25"/>
        <v>0</v>
      </c>
      <c r="BI21" s="218">
        <f t="shared" ca="1" si="7"/>
        <v>0</v>
      </c>
      <c r="BJ21" s="217"/>
      <c r="BK21" s="215">
        <f t="shared" ca="1" si="19"/>
        <v>0</v>
      </c>
      <c r="BL21" s="61">
        <f t="shared" si="8"/>
        <v>0</v>
      </c>
      <c r="BM21" s="218">
        <f t="shared" ca="1" si="20"/>
        <v>0</v>
      </c>
      <c r="BN21" s="216">
        <f t="shared" ca="1" si="21"/>
        <v>0</v>
      </c>
      <c r="BO21" s="219">
        <f t="shared" ca="1" si="9"/>
        <v>0</v>
      </c>
      <c r="BP21" s="408">
        <f t="shared" ca="1" si="22"/>
        <v>0</v>
      </c>
      <c r="BQ21" s="296">
        <f t="shared" ca="1" si="27"/>
        <v>0</v>
      </c>
      <c r="BR21" s="403"/>
    </row>
    <row r="22" spans="1:70" s="6" customFormat="1" x14ac:dyDescent="0.25">
      <c r="A22" s="384" t="s">
        <v>131</v>
      </c>
      <c r="B22" s="325" t="s">
        <v>333</v>
      </c>
      <c r="C22" s="192"/>
      <c r="D22" s="93"/>
      <c r="E22" s="93"/>
      <c r="F22" s="318">
        <v>0.72799999999999998</v>
      </c>
      <c r="G22" s="316">
        <v>1.2</v>
      </c>
      <c r="H22" s="317">
        <f t="shared" si="24"/>
        <v>0</v>
      </c>
      <c r="I22" s="394"/>
      <c r="J22" s="191"/>
      <c r="K22" s="290">
        <f t="shared" si="11"/>
        <v>0</v>
      </c>
      <c r="L22" s="289">
        <f t="shared" si="12"/>
        <v>0</v>
      </c>
      <c r="M22" s="34">
        <f t="shared" si="1"/>
        <v>0</v>
      </c>
      <c r="N22" s="5">
        <f t="shared" si="2"/>
        <v>0</v>
      </c>
      <c r="O22" s="61"/>
      <c r="P22" s="70"/>
      <c r="Q22" s="71" t="str">
        <f t="shared" si="3"/>
        <v/>
      </c>
      <c r="R22" s="155">
        <f t="shared" si="4"/>
        <v>6.545454545454545</v>
      </c>
      <c r="S22" s="68">
        <f t="shared" si="13"/>
        <v>5.4545454545454541</v>
      </c>
      <c r="T22" s="66">
        <v>60</v>
      </c>
      <c r="U22" s="66">
        <f t="shared" si="14"/>
        <v>210</v>
      </c>
      <c r="V22" s="67">
        <f t="shared" si="15"/>
        <v>0</v>
      </c>
      <c r="W22" s="26">
        <f t="shared" si="26"/>
        <v>0</v>
      </c>
      <c r="X22" s="44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306"/>
      <c r="BC22" s="311">
        <f t="shared" ca="1" si="16"/>
        <v>0</v>
      </c>
      <c r="BD22" s="312">
        <f t="shared" ca="1" si="17"/>
        <v>0</v>
      </c>
      <c r="BF22" s="61">
        <f t="shared" si="18"/>
        <v>0</v>
      </c>
      <c r="BG22" s="214"/>
      <c r="BH22" s="305">
        <f t="shared" ca="1" si="25"/>
        <v>0</v>
      </c>
      <c r="BI22" s="218">
        <f t="shared" ca="1" si="7"/>
        <v>0</v>
      </c>
      <c r="BJ22" s="217"/>
      <c r="BK22" s="215">
        <f t="shared" ca="1" si="19"/>
        <v>0</v>
      </c>
      <c r="BL22" s="61">
        <f t="shared" si="8"/>
        <v>0</v>
      </c>
      <c r="BM22" s="218">
        <f t="shared" ca="1" si="20"/>
        <v>0</v>
      </c>
      <c r="BN22" s="216">
        <f t="shared" ca="1" si="21"/>
        <v>0</v>
      </c>
      <c r="BO22" s="219">
        <f t="shared" ca="1" si="9"/>
        <v>0</v>
      </c>
      <c r="BP22" s="408">
        <f t="shared" ca="1" si="22"/>
        <v>0</v>
      </c>
      <c r="BQ22" s="296">
        <f t="shared" ca="1" si="27"/>
        <v>0</v>
      </c>
      <c r="BR22" s="403"/>
    </row>
    <row r="23" spans="1:70" s="6" customFormat="1" x14ac:dyDescent="0.25">
      <c r="A23" s="384" t="s">
        <v>132</v>
      </c>
      <c r="B23" s="325" t="s">
        <v>334</v>
      </c>
      <c r="C23" s="192"/>
      <c r="D23" s="93"/>
      <c r="E23" s="93"/>
      <c r="F23" s="318">
        <v>0.82</v>
      </c>
      <c r="G23" s="316">
        <v>1.2</v>
      </c>
      <c r="H23" s="317">
        <f t="shared" si="24"/>
        <v>0</v>
      </c>
      <c r="I23" s="394"/>
      <c r="J23" s="191"/>
      <c r="K23" s="290">
        <f t="shared" si="11"/>
        <v>0</v>
      </c>
      <c r="L23" s="289">
        <f t="shared" si="12"/>
        <v>0</v>
      </c>
      <c r="M23" s="34">
        <f t="shared" si="1"/>
        <v>0</v>
      </c>
      <c r="N23" s="5">
        <f t="shared" si="2"/>
        <v>0</v>
      </c>
      <c r="O23" s="61"/>
      <c r="P23" s="70"/>
      <c r="Q23" s="71" t="str">
        <f t="shared" si="3"/>
        <v/>
      </c>
      <c r="R23" s="155">
        <f t="shared" si="4"/>
        <v>6.545454545454545</v>
      </c>
      <c r="S23" s="68">
        <f t="shared" si="13"/>
        <v>5.4545454545454541</v>
      </c>
      <c r="T23" s="66">
        <v>60</v>
      </c>
      <c r="U23" s="66">
        <f t="shared" si="14"/>
        <v>210</v>
      </c>
      <c r="V23" s="67">
        <f t="shared" si="15"/>
        <v>0</v>
      </c>
      <c r="W23" s="26">
        <f t="shared" si="26"/>
        <v>0</v>
      </c>
      <c r="X23" s="44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306"/>
      <c r="BC23" s="311">
        <f t="shared" ca="1" si="16"/>
        <v>0</v>
      </c>
      <c r="BD23" s="312">
        <f t="shared" ca="1" si="17"/>
        <v>0</v>
      </c>
      <c r="BF23" s="61">
        <f t="shared" si="18"/>
        <v>0</v>
      </c>
      <c r="BG23" s="214"/>
      <c r="BH23" s="305">
        <f t="shared" ca="1" si="25"/>
        <v>0</v>
      </c>
      <c r="BI23" s="218">
        <f t="shared" ca="1" si="7"/>
        <v>0</v>
      </c>
      <c r="BJ23" s="217"/>
      <c r="BK23" s="215">
        <f t="shared" ca="1" si="19"/>
        <v>0</v>
      </c>
      <c r="BL23" s="61">
        <f t="shared" si="8"/>
        <v>0</v>
      </c>
      <c r="BM23" s="218">
        <f t="shared" ca="1" si="20"/>
        <v>0</v>
      </c>
      <c r="BN23" s="216">
        <f t="shared" ca="1" si="21"/>
        <v>0</v>
      </c>
      <c r="BO23" s="219">
        <f t="shared" ca="1" si="9"/>
        <v>0</v>
      </c>
      <c r="BP23" s="408">
        <f t="shared" ca="1" si="22"/>
        <v>0</v>
      </c>
      <c r="BQ23" s="296">
        <f t="shared" ca="1" si="27"/>
        <v>0</v>
      </c>
      <c r="BR23" s="403"/>
    </row>
    <row r="24" spans="1:70" s="6" customFormat="1" x14ac:dyDescent="0.25">
      <c r="A24" s="384" t="s">
        <v>133</v>
      </c>
      <c r="B24" s="325" t="s">
        <v>335</v>
      </c>
      <c r="C24" s="192"/>
      <c r="D24" s="93"/>
      <c r="E24" s="93"/>
      <c r="F24" s="318">
        <v>0.83499999999999996</v>
      </c>
      <c r="G24" s="316">
        <v>1.36</v>
      </c>
      <c r="H24" s="317">
        <f t="shared" si="24"/>
        <v>0</v>
      </c>
      <c r="I24" s="394"/>
      <c r="J24" s="191"/>
      <c r="K24" s="290">
        <f t="shared" si="11"/>
        <v>0</v>
      </c>
      <c r="L24" s="289">
        <f t="shared" si="12"/>
        <v>0</v>
      </c>
      <c r="M24" s="34">
        <f t="shared" si="1"/>
        <v>0</v>
      </c>
      <c r="N24" s="5">
        <f t="shared" si="2"/>
        <v>0</v>
      </c>
      <c r="O24" s="61"/>
      <c r="P24" s="70"/>
      <c r="Q24" s="71" t="str">
        <f t="shared" si="3"/>
        <v/>
      </c>
      <c r="R24" s="155">
        <f t="shared" si="4"/>
        <v>7.418181818181818</v>
      </c>
      <c r="S24" s="68">
        <f t="shared" si="13"/>
        <v>5.4545454545454541</v>
      </c>
      <c r="T24" s="66">
        <v>60</v>
      </c>
      <c r="U24" s="66">
        <f t="shared" si="14"/>
        <v>210</v>
      </c>
      <c r="V24" s="67">
        <f t="shared" si="15"/>
        <v>0</v>
      </c>
      <c r="W24" s="26">
        <f t="shared" si="26"/>
        <v>0</v>
      </c>
      <c r="X24" s="44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306"/>
      <c r="BC24" s="311">
        <f t="shared" ca="1" si="16"/>
        <v>0</v>
      </c>
      <c r="BD24" s="312">
        <f t="shared" ca="1" si="17"/>
        <v>0</v>
      </c>
      <c r="BF24" s="61">
        <f t="shared" si="18"/>
        <v>0</v>
      </c>
      <c r="BG24" s="214"/>
      <c r="BH24" s="305">
        <f t="shared" ca="1" si="25"/>
        <v>0</v>
      </c>
      <c r="BI24" s="218">
        <f t="shared" ca="1" si="7"/>
        <v>0</v>
      </c>
      <c r="BJ24" s="217"/>
      <c r="BK24" s="215">
        <f t="shared" ca="1" si="19"/>
        <v>0</v>
      </c>
      <c r="BL24" s="61">
        <f t="shared" si="8"/>
        <v>0</v>
      </c>
      <c r="BM24" s="218">
        <f t="shared" ca="1" si="20"/>
        <v>0</v>
      </c>
      <c r="BN24" s="216">
        <f t="shared" ca="1" si="21"/>
        <v>0</v>
      </c>
      <c r="BO24" s="219">
        <f t="shared" ca="1" si="9"/>
        <v>0</v>
      </c>
      <c r="BP24" s="408">
        <f t="shared" ca="1" si="22"/>
        <v>0</v>
      </c>
      <c r="BQ24" s="296">
        <f t="shared" ca="1" si="27"/>
        <v>0</v>
      </c>
      <c r="BR24" s="403"/>
    </row>
    <row r="25" spans="1:70" s="6" customFormat="1" x14ac:dyDescent="0.25">
      <c r="A25" s="384" t="s">
        <v>134</v>
      </c>
      <c r="B25" s="325" t="s">
        <v>336</v>
      </c>
      <c r="C25" s="192"/>
      <c r="D25" s="93"/>
      <c r="E25" s="93"/>
      <c r="F25" s="318">
        <v>0.86599999999999999</v>
      </c>
      <c r="G25" s="316">
        <v>0.89</v>
      </c>
      <c r="H25" s="317">
        <f t="shared" si="24"/>
        <v>0</v>
      </c>
      <c r="I25" s="394"/>
      <c r="J25" s="191"/>
      <c r="K25" s="290">
        <f t="shared" si="11"/>
        <v>0</v>
      </c>
      <c r="L25" s="289">
        <f t="shared" si="12"/>
        <v>0</v>
      </c>
      <c r="M25" s="34">
        <f t="shared" si="1"/>
        <v>0</v>
      </c>
      <c r="N25" s="5">
        <f t="shared" si="2"/>
        <v>0</v>
      </c>
      <c r="O25" s="61"/>
      <c r="P25" s="70"/>
      <c r="Q25" s="71" t="str">
        <f t="shared" si="3"/>
        <v/>
      </c>
      <c r="R25" s="155">
        <f t="shared" si="4"/>
        <v>4.8545454545454545</v>
      </c>
      <c r="S25" s="68">
        <f t="shared" si="13"/>
        <v>5.4545454545454541</v>
      </c>
      <c r="T25" s="66">
        <v>60</v>
      </c>
      <c r="U25" s="66">
        <f t="shared" si="14"/>
        <v>210</v>
      </c>
      <c r="V25" s="67">
        <f t="shared" si="15"/>
        <v>0</v>
      </c>
      <c r="W25" s="26">
        <f t="shared" si="26"/>
        <v>0</v>
      </c>
      <c r="X25" s="44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306"/>
      <c r="BC25" s="311">
        <f t="shared" ca="1" si="16"/>
        <v>0</v>
      </c>
      <c r="BD25" s="312">
        <f t="shared" ca="1" si="17"/>
        <v>0</v>
      </c>
      <c r="BF25" s="61">
        <f t="shared" si="18"/>
        <v>0</v>
      </c>
      <c r="BG25" s="214"/>
      <c r="BH25" s="305">
        <f t="shared" ca="1" si="25"/>
        <v>0</v>
      </c>
      <c r="BI25" s="218">
        <f t="shared" ca="1" si="7"/>
        <v>0</v>
      </c>
      <c r="BJ25" s="217"/>
      <c r="BK25" s="215">
        <f t="shared" ca="1" si="19"/>
        <v>0</v>
      </c>
      <c r="BL25" s="61">
        <f t="shared" si="8"/>
        <v>0</v>
      </c>
      <c r="BM25" s="218">
        <f t="shared" ca="1" si="20"/>
        <v>0</v>
      </c>
      <c r="BN25" s="216">
        <f t="shared" ca="1" si="21"/>
        <v>0</v>
      </c>
      <c r="BO25" s="219">
        <f t="shared" ca="1" si="9"/>
        <v>0</v>
      </c>
      <c r="BP25" s="408">
        <f t="shared" ca="1" si="22"/>
        <v>0</v>
      </c>
      <c r="BQ25" s="296">
        <f t="shared" ca="1" si="27"/>
        <v>0</v>
      </c>
      <c r="BR25" s="403"/>
    </row>
    <row r="26" spans="1:70" s="6" customFormat="1" x14ac:dyDescent="0.25">
      <c r="A26" s="384" t="s">
        <v>135</v>
      </c>
      <c r="B26" s="328"/>
      <c r="C26" s="192"/>
      <c r="D26" s="93"/>
      <c r="E26" s="93"/>
      <c r="F26" s="318"/>
      <c r="G26" s="316">
        <v>1</v>
      </c>
      <c r="H26" s="317">
        <f t="shared" si="24"/>
        <v>0</v>
      </c>
      <c r="I26" s="394"/>
      <c r="J26" s="191"/>
      <c r="K26" s="290">
        <f t="shared" si="11"/>
        <v>0</v>
      </c>
      <c r="L26" s="289">
        <f t="shared" si="12"/>
        <v>0</v>
      </c>
      <c r="M26" s="34">
        <f t="shared" si="1"/>
        <v>0</v>
      </c>
      <c r="N26" s="5">
        <f t="shared" si="2"/>
        <v>0</v>
      </c>
      <c r="O26" s="61"/>
      <c r="P26" s="70"/>
      <c r="Q26" s="71" t="str">
        <f t="shared" si="3"/>
        <v/>
      </c>
      <c r="R26" s="155">
        <f t="shared" si="4"/>
        <v>7.2727272727272725</v>
      </c>
      <c r="S26" s="68">
        <f t="shared" si="13"/>
        <v>7.2727272727272725</v>
      </c>
      <c r="T26" s="66">
        <v>80</v>
      </c>
      <c r="U26" s="66">
        <f t="shared" si="14"/>
        <v>280</v>
      </c>
      <c r="V26" s="67">
        <f t="shared" si="15"/>
        <v>0</v>
      </c>
      <c r="W26" s="26">
        <f t="shared" si="26"/>
        <v>0</v>
      </c>
      <c r="X26" s="44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306"/>
      <c r="BC26" s="311">
        <f t="shared" ca="1" si="16"/>
        <v>0</v>
      </c>
      <c r="BD26" s="312">
        <f t="shared" ca="1" si="17"/>
        <v>0</v>
      </c>
      <c r="BF26" s="61">
        <f t="shared" si="18"/>
        <v>0</v>
      </c>
      <c r="BG26" s="214"/>
      <c r="BH26" s="305">
        <f t="shared" ca="1" si="25"/>
        <v>0</v>
      </c>
      <c r="BI26" s="218">
        <f t="shared" ca="1" si="7"/>
        <v>0</v>
      </c>
      <c r="BJ26" s="217"/>
      <c r="BK26" s="215">
        <f t="shared" ca="1" si="19"/>
        <v>0</v>
      </c>
      <c r="BL26" s="61">
        <f t="shared" si="8"/>
        <v>0</v>
      </c>
      <c r="BM26" s="218">
        <f t="shared" ca="1" si="20"/>
        <v>0</v>
      </c>
      <c r="BN26" s="216">
        <f t="shared" ca="1" si="21"/>
        <v>0</v>
      </c>
      <c r="BO26" s="219">
        <f t="shared" ca="1" si="9"/>
        <v>0</v>
      </c>
      <c r="BP26" s="408">
        <f t="shared" ca="1" si="22"/>
        <v>0</v>
      </c>
      <c r="BQ26" s="296">
        <f t="shared" ca="1" si="27"/>
        <v>0</v>
      </c>
      <c r="BR26" s="403"/>
    </row>
    <row r="27" spans="1:70" s="6" customFormat="1" x14ac:dyDescent="0.25">
      <c r="A27" s="384"/>
      <c r="B27" s="323"/>
      <c r="C27" s="193"/>
      <c r="D27" s="94"/>
      <c r="E27" s="288"/>
      <c r="F27" s="318"/>
      <c r="G27" s="316"/>
      <c r="H27" s="317">
        <f t="shared" si="24"/>
        <v>0</v>
      </c>
      <c r="I27" s="394"/>
      <c r="J27" s="191"/>
      <c r="K27" s="290">
        <f t="shared" si="11"/>
        <v>0</v>
      </c>
      <c r="L27" s="289">
        <f t="shared" si="12"/>
        <v>0</v>
      </c>
      <c r="M27" s="35">
        <f t="shared" si="1"/>
        <v>0</v>
      </c>
      <c r="N27" s="7">
        <f t="shared" si="2"/>
        <v>0</v>
      </c>
      <c r="O27" s="62"/>
      <c r="P27" s="70"/>
      <c r="Q27" s="71" t="str">
        <f t="shared" si="3"/>
        <v/>
      </c>
      <c r="R27" s="155">
        <f t="shared" si="4"/>
        <v>0</v>
      </c>
      <c r="S27" s="68">
        <f t="shared" si="13"/>
        <v>1E-4</v>
      </c>
      <c r="T27" s="66"/>
      <c r="U27" s="66">
        <f t="shared" si="14"/>
        <v>0</v>
      </c>
      <c r="V27" s="67">
        <f t="shared" si="15"/>
        <v>0</v>
      </c>
      <c r="W27" s="26">
        <f t="shared" si="26"/>
        <v>0</v>
      </c>
      <c r="X27" s="44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306"/>
      <c r="BC27" s="311">
        <f t="shared" ca="1" si="16"/>
        <v>0</v>
      </c>
      <c r="BD27" s="312">
        <f t="shared" ca="1" si="17"/>
        <v>0</v>
      </c>
      <c r="BF27" s="61">
        <f t="shared" si="18"/>
        <v>0</v>
      </c>
      <c r="BG27" s="214"/>
      <c r="BH27" s="305">
        <f t="shared" ca="1" si="25"/>
        <v>0</v>
      </c>
      <c r="BI27" s="218">
        <f t="shared" ca="1" si="7"/>
        <v>0</v>
      </c>
      <c r="BJ27" s="217"/>
      <c r="BK27" s="215">
        <f t="shared" ca="1" si="19"/>
        <v>0</v>
      </c>
      <c r="BL27" s="61">
        <f t="shared" si="8"/>
        <v>0</v>
      </c>
      <c r="BM27" s="218">
        <f t="shared" ca="1" si="20"/>
        <v>0</v>
      </c>
      <c r="BN27" s="216">
        <f t="shared" ca="1" si="21"/>
        <v>0</v>
      </c>
      <c r="BO27" s="219">
        <f t="shared" ca="1" si="9"/>
        <v>0</v>
      </c>
      <c r="BP27" s="408">
        <f t="shared" ca="1" si="22"/>
        <v>0</v>
      </c>
      <c r="BQ27" s="296">
        <f t="shared" ca="1" si="27"/>
        <v>0</v>
      </c>
      <c r="BR27" s="403"/>
    </row>
    <row r="28" spans="1:70" s="6" customFormat="1" x14ac:dyDescent="0.25">
      <c r="A28" s="384" t="s">
        <v>136</v>
      </c>
      <c r="B28" s="325" t="s">
        <v>337</v>
      </c>
      <c r="C28" s="192"/>
      <c r="D28" s="93"/>
      <c r="E28" s="93"/>
      <c r="F28" s="318">
        <v>0.62</v>
      </c>
      <c r="G28" s="316">
        <v>1.1000000000000001</v>
      </c>
      <c r="H28" s="317">
        <f t="shared" si="24"/>
        <v>0</v>
      </c>
      <c r="I28" s="394"/>
      <c r="J28" s="191"/>
      <c r="K28" s="290">
        <f t="shared" si="11"/>
        <v>0</v>
      </c>
      <c r="L28" s="289">
        <f t="shared" si="12"/>
        <v>0</v>
      </c>
      <c r="M28" s="34">
        <f t="shared" si="1"/>
        <v>0</v>
      </c>
      <c r="N28" s="5">
        <f t="shared" si="2"/>
        <v>0</v>
      </c>
      <c r="O28" s="61"/>
      <c r="P28" s="70"/>
      <c r="Q28" s="71" t="str">
        <f t="shared" si="3"/>
        <v/>
      </c>
      <c r="R28" s="155">
        <f t="shared" si="4"/>
        <v>12</v>
      </c>
      <c r="S28" s="68">
        <f t="shared" si="13"/>
        <v>10.909090909090908</v>
      </c>
      <c r="T28" s="66">
        <v>120</v>
      </c>
      <c r="U28" s="66">
        <f t="shared" si="14"/>
        <v>420</v>
      </c>
      <c r="V28" s="67">
        <f t="shared" si="15"/>
        <v>0</v>
      </c>
      <c r="W28" s="26">
        <f t="shared" si="26"/>
        <v>0</v>
      </c>
      <c r="X28" s="44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306"/>
      <c r="BC28" s="311">
        <f t="shared" ca="1" si="16"/>
        <v>0</v>
      </c>
      <c r="BD28" s="312">
        <f t="shared" ca="1" si="17"/>
        <v>0</v>
      </c>
      <c r="BF28" s="61">
        <f t="shared" si="18"/>
        <v>0</v>
      </c>
      <c r="BG28" s="214"/>
      <c r="BH28" s="305">
        <f t="shared" ca="1" si="25"/>
        <v>0</v>
      </c>
      <c r="BI28" s="218">
        <f t="shared" ca="1" si="7"/>
        <v>0</v>
      </c>
      <c r="BJ28" s="217"/>
      <c r="BK28" s="215">
        <f t="shared" ca="1" si="19"/>
        <v>0</v>
      </c>
      <c r="BL28" s="61">
        <f t="shared" si="8"/>
        <v>0</v>
      </c>
      <c r="BM28" s="218">
        <f t="shared" ca="1" si="20"/>
        <v>0</v>
      </c>
      <c r="BN28" s="216">
        <f t="shared" ca="1" si="21"/>
        <v>0</v>
      </c>
      <c r="BO28" s="219">
        <f t="shared" ca="1" si="9"/>
        <v>0</v>
      </c>
      <c r="BP28" s="408">
        <f t="shared" ca="1" si="22"/>
        <v>0</v>
      </c>
      <c r="BQ28" s="296">
        <f t="shared" ca="1" si="27"/>
        <v>0</v>
      </c>
      <c r="BR28" s="403"/>
    </row>
    <row r="29" spans="1:70" s="6" customFormat="1" x14ac:dyDescent="0.25">
      <c r="A29" s="384" t="s">
        <v>137</v>
      </c>
      <c r="B29" s="325" t="s">
        <v>338</v>
      </c>
      <c r="C29" s="192"/>
      <c r="D29" s="93"/>
      <c r="E29" s="93"/>
      <c r="F29" s="318">
        <v>0.89</v>
      </c>
      <c r="G29" s="316">
        <v>1</v>
      </c>
      <c r="H29" s="317">
        <f t="shared" si="24"/>
        <v>0</v>
      </c>
      <c r="I29" s="394"/>
      <c r="J29" s="191"/>
      <c r="K29" s="290">
        <f t="shared" si="11"/>
        <v>0</v>
      </c>
      <c r="L29" s="289">
        <f t="shared" si="12"/>
        <v>0</v>
      </c>
      <c r="M29" s="34">
        <f t="shared" si="1"/>
        <v>0</v>
      </c>
      <c r="N29" s="5">
        <f t="shared" si="2"/>
        <v>0</v>
      </c>
      <c r="O29" s="61"/>
      <c r="P29" s="70"/>
      <c r="Q29" s="71" t="str">
        <f t="shared" si="3"/>
        <v/>
      </c>
      <c r="R29" s="155">
        <f t="shared" si="4"/>
        <v>10.909090909090908</v>
      </c>
      <c r="S29" s="68">
        <f t="shared" si="13"/>
        <v>10.909090909090908</v>
      </c>
      <c r="T29" s="66">
        <v>120</v>
      </c>
      <c r="U29" s="66">
        <f t="shared" si="14"/>
        <v>420</v>
      </c>
      <c r="V29" s="67">
        <f t="shared" si="15"/>
        <v>0</v>
      </c>
      <c r="W29" s="26">
        <f t="shared" si="26"/>
        <v>0</v>
      </c>
      <c r="X29" s="44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306"/>
      <c r="BC29" s="311">
        <f t="shared" ca="1" si="16"/>
        <v>0</v>
      </c>
      <c r="BD29" s="312">
        <f t="shared" ca="1" si="17"/>
        <v>0</v>
      </c>
      <c r="BF29" s="61">
        <f t="shared" si="18"/>
        <v>0</v>
      </c>
      <c r="BG29" s="214"/>
      <c r="BH29" s="305">
        <f t="shared" ca="1" si="25"/>
        <v>0</v>
      </c>
      <c r="BI29" s="218">
        <f t="shared" ca="1" si="7"/>
        <v>0</v>
      </c>
      <c r="BJ29" s="217"/>
      <c r="BK29" s="215">
        <f t="shared" ca="1" si="19"/>
        <v>0</v>
      </c>
      <c r="BL29" s="61">
        <f t="shared" si="8"/>
        <v>0</v>
      </c>
      <c r="BM29" s="218">
        <f t="shared" ca="1" si="20"/>
        <v>0</v>
      </c>
      <c r="BN29" s="216">
        <f t="shared" ca="1" si="21"/>
        <v>0</v>
      </c>
      <c r="BO29" s="219">
        <f t="shared" ca="1" si="9"/>
        <v>0</v>
      </c>
      <c r="BP29" s="408">
        <f t="shared" ca="1" si="22"/>
        <v>0</v>
      </c>
      <c r="BQ29" s="296">
        <f t="shared" ca="1" si="27"/>
        <v>0</v>
      </c>
      <c r="BR29" s="403"/>
    </row>
    <row r="30" spans="1:70" s="6" customFormat="1" x14ac:dyDescent="0.25">
      <c r="A30" s="384" t="s">
        <v>138</v>
      </c>
      <c r="B30" s="325" t="s">
        <v>339</v>
      </c>
      <c r="C30" s="192"/>
      <c r="D30" s="93"/>
      <c r="E30" s="93"/>
      <c r="F30" s="318">
        <v>0.86599999999999999</v>
      </c>
      <c r="G30" s="316">
        <v>1.6</v>
      </c>
      <c r="H30" s="317">
        <f t="shared" si="24"/>
        <v>0</v>
      </c>
      <c r="I30" s="394"/>
      <c r="J30" s="191"/>
      <c r="K30" s="290">
        <f t="shared" si="11"/>
        <v>0</v>
      </c>
      <c r="L30" s="289">
        <f t="shared" si="12"/>
        <v>0</v>
      </c>
      <c r="M30" s="34">
        <f t="shared" si="1"/>
        <v>0</v>
      </c>
      <c r="N30" s="5">
        <f t="shared" si="2"/>
        <v>0</v>
      </c>
      <c r="O30" s="61"/>
      <c r="P30" s="70"/>
      <c r="Q30" s="71" t="str">
        <f t="shared" si="3"/>
        <v/>
      </c>
      <c r="R30" s="155">
        <f t="shared" si="4"/>
        <v>11.636363636363637</v>
      </c>
      <c r="S30" s="68">
        <f t="shared" si="13"/>
        <v>7.2727272727272725</v>
      </c>
      <c r="T30" s="66">
        <v>80</v>
      </c>
      <c r="U30" s="66">
        <f t="shared" si="14"/>
        <v>280</v>
      </c>
      <c r="V30" s="67">
        <f t="shared" si="15"/>
        <v>0</v>
      </c>
      <c r="W30" s="26">
        <f t="shared" si="26"/>
        <v>0</v>
      </c>
      <c r="X30" s="44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306"/>
      <c r="BC30" s="311">
        <f t="shared" ca="1" si="16"/>
        <v>0</v>
      </c>
      <c r="BD30" s="312">
        <f t="shared" ca="1" si="17"/>
        <v>0</v>
      </c>
      <c r="BF30" s="61">
        <f t="shared" si="18"/>
        <v>0</v>
      </c>
      <c r="BG30" s="214"/>
      <c r="BH30" s="305">
        <f t="shared" ca="1" si="25"/>
        <v>0</v>
      </c>
      <c r="BI30" s="218">
        <f t="shared" ca="1" si="7"/>
        <v>0</v>
      </c>
      <c r="BJ30" s="217"/>
      <c r="BK30" s="215">
        <f t="shared" ca="1" si="19"/>
        <v>0</v>
      </c>
      <c r="BL30" s="61">
        <f t="shared" si="8"/>
        <v>0</v>
      </c>
      <c r="BM30" s="218">
        <f t="shared" ca="1" si="20"/>
        <v>0</v>
      </c>
      <c r="BN30" s="216">
        <f t="shared" ca="1" si="21"/>
        <v>0</v>
      </c>
      <c r="BO30" s="219">
        <f t="shared" ca="1" si="9"/>
        <v>0</v>
      </c>
      <c r="BP30" s="408">
        <f t="shared" ca="1" si="22"/>
        <v>0</v>
      </c>
      <c r="BQ30" s="296">
        <f t="shared" ca="1" si="27"/>
        <v>0</v>
      </c>
      <c r="BR30" s="403"/>
    </row>
    <row r="31" spans="1:70" s="6" customFormat="1" x14ac:dyDescent="0.25">
      <c r="A31" s="384" t="s">
        <v>139</v>
      </c>
      <c r="B31" s="328"/>
      <c r="C31" s="192"/>
      <c r="D31" s="93"/>
      <c r="E31" s="93"/>
      <c r="F31" s="315"/>
      <c r="G31" s="316">
        <v>0.35</v>
      </c>
      <c r="H31" s="317">
        <f t="shared" si="24"/>
        <v>0</v>
      </c>
      <c r="I31" s="394"/>
      <c r="J31" s="191"/>
      <c r="K31" s="290">
        <f t="shared" si="11"/>
        <v>0</v>
      </c>
      <c r="L31" s="289">
        <f t="shared" si="12"/>
        <v>0</v>
      </c>
      <c r="M31" s="34">
        <f t="shared" si="1"/>
        <v>0</v>
      </c>
      <c r="N31" s="5">
        <f t="shared" si="2"/>
        <v>0</v>
      </c>
      <c r="O31" s="61"/>
      <c r="P31" s="70"/>
      <c r="Q31" s="71" t="str">
        <f t="shared" si="3"/>
        <v/>
      </c>
      <c r="R31" s="155">
        <f t="shared" si="4"/>
        <v>1.9090909090909087</v>
      </c>
      <c r="S31" s="68">
        <f t="shared" si="13"/>
        <v>5.4545454545454541</v>
      </c>
      <c r="T31" s="66">
        <v>60</v>
      </c>
      <c r="U31" s="66">
        <f t="shared" si="14"/>
        <v>210</v>
      </c>
      <c r="V31" s="67">
        <f t="shared" si="15"/>
        <v>0</v>
      </c>
      <c r="W31" s="26">
        <f t="shared" si="26"/>
        <v>0</v>
      </c>
      <c r="X31" s="44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306"/>
      <c r="BC31" s="311">
        <f t="shared" ca="1" si="16"/>
        <v>0</v>
      </c>
      <c r="BD31" s="312">
        <f t="shared" ca="1" si="17"/>
        <v>0</v>
      </c>
      <c r="BF31" s="61">
        <f t="shared" si="18"/>
        <v>0</v>
      </c>
      <c r="BG31" s="214"/>
      <c r="BH31" s="305">
        <f t="shared" ca="1" si="25"/>
        <v>0</v>
      </c>
      <c r="BI31" s="218">
        <f t="shared" ca="1" si="7"/>
        <v>0</v>
      </c>
      <c r="BJ31" s="217"/>
      <c r="BK31" s="215">
        <f t="shared" ca="1" si="19"/>
        <v>0</v>
      </c>
      <c r="BL31" s="61">
        <f t="shared" si="8"/>
        <v>0</v>
      </c>
      <c r="BM31" s="218">
        <f t="shared" ca="1" si="20"/>
        <v>0</v>
      </c>
      <c r="BN31" s="216">
        <f t="shared" ca="1" si="21"/>
        <v>0</v>
      </c>
      <c r="BO31" s="219">
        <f t="shared" ca="1" si="9"/>
        <v>0</v>
      </c>
      <c r="BP31" s="408">
        <f t="shared" ca="1" si="22"/>
        <v>0</v>
      </c>
      <c r="BQ31" s="296">
        <f t="shared" ca="1" si="27"/>
        <v>0</v>
      </c>
      <c r="BR31" s="403"/>
    </row>
    <row r="32" spans="1:70" s="6" customFormat="1" x14ac:dyDescent="0.25">
      <c r="A32" s="384" t="s">
        <v>288</v>
      </c>
      <c r="B32" s="328"/>
      <c r="C32" s="93"/>
      <c r="D32" s="93"/>
      <c r="E32" s="93"/>
      <c r="F32" s="315"/>
      <c r="G32" s="316">
        <v>1.5</v>
      </c>
      <c r="H32" s="317">
        <f t="shared" si="24"/>
        <v>0</v>
      </c>
      <c r="I32" s="394"/>
      <c r="J32" s="133"/>
      <c r="K32" s="290">
        <f t="shared" si="11"/>
        <v>0</v>
      </c>
      <c r="L32" s="289">
        <f t="shared" si="12"/>
        <v>0</v>
      </c>
      <c r="M32" s="34">
        <f t="shared" si="1"/>
        <v>0</v>
      </c>
      <c r="N32" s="5">
        <f t="shared" si="2"/>
        <v>0</v>
      </c>
      <c r="O32" s="61"/>
      <c r="P32" s="70"/>
      <c r="Q32" s="71" t="str">
        <f t="shared" si="3"/>
        <v/>
      </c>
      <c r="R32" s="155">
        <f t="shared" si="4"/>
        <v>8.1818181818181817</v>
      </c>
      <c r="S32" s="68">
        <f t="shared" si="13"/>
        <v>5.4545454545454541</v>
      </c>
      <c r="T32" s="66">
        <v>60</v>
      </c>
      <c r="U32" s="66">
        <f t="shared" si="14"/>
        <v>210</v>
      </c>
      <c r="V32" s="67">
        <f t="shared" si="15"/>
        <v>0</v>
      </c>
      <c r="W32" s="26">
        <f t="shared" si="26"/>
        <v>0</v>
      </c>
      <c r="X32" s="44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306"/>
      <c r="BC32" s="311">
        <f t="shared" ca="1" si="16"/>
        <v>0</v>
      </c>
      <c r="BD32" s="312">
        <f t="shared" ca="1" si="17"/>
        <v>0</v>
      </c>
      <c r="BF32" s="61">
        <f t="shared" si="18"/>
        <v>0</v>
      </c>
      <c r="BG32" s="214"/>
      <c r="BH32" s="305">
        <f t="shared" ca="1" si="25"/>
        <v>0</v>
      </c>
      <c r="BI32" s="218">
        <f t="shared" ca="1" si="7"/>
        <v>0</v>
      </c>
      <c r="BJ32" s="217"/>
      <c r="BK32" s="215">
        <f t="shared" ca="1" si="19"/>
        <v>0</v>
      </c>
      <c r="BL32" s="61">
        <f t="shared" si="8"/>
        <v>0</v>
      </c>
      <c r="BM32" s="218">
        <f t="shared" ca="1" si="20"/>
        <v>0</v>
      </c>
      <c r="BN32" s="216">
        <f t="shared" ca="1" si="21"/>
        <v>0</v>
      </c>
      <c r="BO32" s="219">
        <f t="shared" ca="1" si="9"/>
        <v>0</v>
      </c>
      <c r="BP32" s="408">
        <f t="shared" ca="1" si="22"/>
        <v>0</v>
      </c>
      <c r="BQ32" s="296">
        <f t="shared" ca="1" si="27"/>
        <v>0</v>
      </c>
      <c r="BR32" s="403"/>
    </row>
    <row r="33" spans="1:70" s="6" customFormat="1" x14ac:dyDescent="0.25">
      <c r="A33" s="384" t="s">
        <v>289</v>
      </c>
      <c r="B33" s="328"/>
      <c r="C33" s="93"/>
      <c r="D33" s="93"/>
      <c r="E33" s="93"/>
      <c r="F33" s="315"/>
      <c r="G33" s="316">
        <v>0.55000000000000004</v>
      </c>
      <c r="H33" s="317">
        <f t="shared" si="24"/>
        <v>0</v>
      </c>
      <c r="I33" s="394"/>
      <c r="J33" s="133"/>
      <c r="K33" s="290">
        <f t="shared" si="11"/>
        <v>0</v>
      </c>
      <c r="L33" s="289">
        <f t="shared" si="12"/>
        <v>0</v>
      </c>
      <c r="M33" s="34">
        <f t="shared" si="1"/>
        <v>0</v>
      </c>
      <c r="N33" s="5">
        <f t="shared" si="2"/>
        <v>0</v>
      </c>
      <c r="O33" s="61"/>
      <c r="P33" s="70"/>
      <c r="Q33" s="71" t="str">
        <f t="shared" si="3"/>
        <v/>
      </c>
      <c r="R33" s="155">
        <f t="shared" si="4"/>
        <v>6</v>
      </c>
      <c r="S33" s="68">
        <f t="shared" si="13"/>
        <v>10.909090909090908</v>
      </c>
      <c r="T33" s="66">
        <v>120</v>
      </c>
      <c r="U33" s="66">
        <f t="shared" si="14"/>
        <v>420</v>
      </c>
      <c r="V33" s="67">
        <f t="shared" si="15"/>
        <v>0</v>
      </c>
      <c r="W33" s="26">
        <f t="shared" si="26"/>
        <v>0</v>
      </c>
      <c r="X33" s="44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306"/>
      <c r="BC33" s="311">
        <f t="shared" ca="1" si="16"/>
        <v>0</v>
      </c>
      <c r="BD33" s="312">
        <f t="shared" ca="1" si="17"/>
        <v>0</v>
      </c>
      <c r="BF33" s="61">
        <f t="shared" si="18"/>
        <v>0</v>
      </c>
      <c r="BG33" s="214"/>
      <c r="BH33" s="305">
        <f t="shared" ca="1" si="25"/>
        <v>0</v>
      </c>
      <c r="BI33" s="218">
        <f t="shared" ca="1" si="7"/>
        <v>0</v>
      </c>
      <c r="BJ33" s="217"/>
      <c r="BK33" s="215">
        <f t="shared" ca="1" si="19"/>
        <v>0</v>
      </c>
      <c r="BL33" s="61">
        <f t="shared" si="8"/>
        <v>0</v>
      </c>
      <c r="BM33" s="218">
        <f t="shared" ca="1" si="20"/>
        <v>0</v>
      </c>
      <c r="BN33" s="216">
        <f t="shared" ca="1" si="21"/>
        <v>0</v>
      </c>
      <c r="BO33" s="219">
        <f t="shared" ca="1" si="9"/>
        <v>0</v>
      </c>
      <c r="BP33" s="408">
        <f t="shared" ca="1" si="22"/>
        <v>0</v>
      </c>
      <c r="BQ33" s="296">
        <f t="shared" ca="1" si="27"/>
        <v>0</v>
      </c>
      <c r="BR33" s="403"/>
    </row>
    <row r="34" spans="1:70" s="6" customFormat="1" ht="15.75" thickBot="1" x14ac:dyDescent="0.3">
      <c r="A34" s="385" t="s">
        <v>290</v>
      </c>
      <c r="B34" s="328"/>
      <c r="C34" s="95"/>
      <c r="D34" s="95"/>
      <c r="E34" s="95"/>
      <c r="F34" s="319"/>
      <c r="G34" s="320">
        <v>1.7</v>
      </c>
      <c r="H34" s="321">
        <f t="shared" si="24"/>
        <v>0</v>
      </c>
      <c r="I34" s="395"/>
      <c r="J34" s="137"/>
      <c r="K34" s="290">
        <f t="shared" si="11"/>
        <v>0</v>
      </c>
      <c r="L34" s="289">
        <f t="shared" si="12"/>
        <v>0</v>
      </c>
      <c r="M34" s="36">
        <f t="shared" si="1"/>
        <v>0</v>
      </c>
      <c r="N34" s="13">
        <f t="shared" si="2"/>
        <v>0</v>
      </c>
      <c r="O34" s="63"/>
      <c r="P34" s="72"/>
      <c r="Q34" s="73" t="str">
        <f t="shared" si="3"/>
        <v/>
      </c>
      <c r="R34" s="155">
        <f t="shared" si="4"/>
        <v>12.363636363636363</v>
      </c>
      <c r="S34" s="68">
        <f t="shared" si="13"/>
        <v>7.2727272727272725</v>
      </c>
      <c r="T34" s="66">
        <v>80</v>
      </c>
      <c r="U34" s="66">
        <f t="shared" si="14"/>
        <v>280</v>
      </c>
      <c r="V34" s="67">
        <f t="shared" si="15"/>
        <v>0</v>
      </c>
      <c r="W34" s="26">
        <f t="shared" si="26"/>
        <v>0</v>
      </c>
      <c r="X34" s="44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306"/>
      <c r="BC34" s="313">
        <f t="shared" ca="1" si="16"/>
        <v>0</v>
      </c>
      <c r="BD34" s="314">
        <f t="shared" ca="1" si="17"/>
        <v>0</v>
      </c>
      <c r="BF34" s="61">
        <f t="shared" si="18"/>
        <v>0</v>
      </c>
      <c r="BG34" s="242"/>
      <c r="BH34" s="241">
        <f t="shared" ca="1" si="25"/>
        <v>0</v>
      </c>
      <c r="BI34" s="218">
        <f t="shared" ca="1" si="7"/>
        <v>0</v>
      </c>
      <c r="BJ34" s="217"/>
      <c r="BK34" s="215">
        <f t="shared" ca="1" si="19"/>
        <v>0</v>
      </c>
      <c r="BL34" s="61">
        <f t="shared" si="8"/>
        <v>0</v>
      </c>
      <c r="BM34" s="401">
        <f t="shared" ca="1" si="20"/>
        <v>0</v>
      </c>
      <c r="BN34" s="241">
        <f t="shared" ca="1" si="21"/>
        <v>0</v>
      </c>
      <c r="BO34" s="219">
        <f t="shared" ca="1" si="9"/>
        <v>0</v>
      </c>
      <c r="BP34" s="411">
        <f t="shared" ca="1" si="22"/>
        <v>0</v>
      </c>
      <c r="BQ34" s="294">
        <f t="shared" ca="1" si="27"/>
        <v>0</v>
      </c>
      <c r="BR34" s="403"/>
    </row>
    <row r="35" spans="1:70" s="1" customFormat="1" ht="15.75" thickBot="1" x14ac:dyDescent="0.3">
      <c r="A35" s="28" t="s">
        <v>3</v>
      </c>
      <c r="B35" s="82"/>
      <c r="C35" s="82"/>
      <c r="D35" s="82"/>
      <c r="E35" s="82"/>
      <c r="F35" s="136"/>
      <c r="G35" s="136"/>
      <c r="H35" s="136"/>
      <c r="I35" s="136"/>
      <c r="J35" s="136"/>
      <c r="K35" s="86"/>
      <c r="L35" s="28">
        <f>SUM(L8:L34)</f>
        <v>0</v>
      </c>
      <c r="M35" s="37">
        <f t="shared" si="1"/>
        <v>0</v>
      </c>
      <c r="N35" s="32">
        <f>IFERROR(ROUND(M35/$N$2,0),0)</f>
        <v>0</v>
      </c>
      <c r="O35" s="33">
        <f>IFERROR(ROUND(N35/N1,0),0)</f>
        <v>0</v>
      </c>
      <c r="P35" s="74">
        <f>SUM(P8:P34)</f>
        <v>0</v>
      </c>
      <c r="Q35" s="75" t="str">
        <f t="shared" si="3"/>
        <v/>
      </c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D35" s="299"/>
      <c r="BP35" s="31"/>
    </row>
    <row r="36" spans="1:70" s="31" customFormat="1" x14ac:dyDescent="0.25">
      <c r="A36" s="417" t="s">
        <v>89</v>
      </c>
      <c r="B36" s="418"/>
      <c r="C36" s="418"/>
      <c r="D36" s="418"/>
      <c r="E36" s="419"/>
      <c r="F36" s="283"/>
      <c r="G36" s="283"/>
      <c r="H36" s="283"/>
      <c r="I36" s="132"/>
      <c r="J36" s="132"/>
      <c r="K36" s="30"/>
      <c r="L36" s="29">
        <f>M36*N3</f>
        <v>12958</v>
      </c>
      <c r="M36" s="29">
        <f>N36*N2</f>
        <v>1364</v>
      </c>
      <c r="N36" s="29">
        <f>O36*N1</f>
        <v>124</v>
      </c>
      <c r="O36" s="53">
        <f>N4/6*4</f>
        <v>20.666666666666668</v>
      </c>
      <c r="P36" s="1"/>
      <c r="Q36" s="1"/>
      <c r="W36" s="89" t="s">
        <v>97</v>
      </c>
      <c r="X36" s="90">
        <f>X41-X39</f>
        <v>3</v>
      </c>
      <c r="Y36" s="90">
        <f t="shared" ref="Y36:BB36" si="28">Y41-Y39</f>
        <v>4</v>
      </c>
      <c r="Z36" s="90">
        <f t="shared" si="28"/>
        <v>4</v>
      </c>
      <c r="AA36" s="90">
        <f t="shared" si="28"/>
        <v>3</v>
      </c>
      <c r="AB36" s="90">
        <f t="shared" si="28"/>
        <v>3</v>
      </c>
      <c r="AC36" s="90">
        <f t="shared" si="28"/>
        <v>3</v>
      </c>
      <c r="AD36" s="90">
        <f t="shared" si="28"/>
        <v>3</v>
      </c>
      <c r="AE36" s="90">
        <f t="shared" si="28"/>
        <v>3</v>
      </c>
      <c r="AF36" s="90">
        <f t="shared" si="28"/>
        <v>4</v>
      </c>
      <c r="AG36" s="90">
        <f t="shared" si="28"/>
        <v>3</v>
      </c>
      <c r="AH36" s="90">
        <f t="shared" si="28"/>
        <v>3</v>
      </c>
      <c r="AI36" s="90">
        <f t="shared" si="28"/>
        <v>3</v>
      </c>
      <c r="AJ36" s="90">
        <f t="shared" si="28"/>
        <v>4</v>
      </c>
      <c r="AK36" s="90">
        <f t="shared" si="28"/>
        <v>3</v>
      </c>
      <c r="AL36" s="90">
        <f t="shared" si="28"/>
        <v>3</v>
      </c>
      <c r="AM36" s="90">
        <f t="shared" si="28"/>
        <v>3</v>
      </c>
      <c r="AN36" s="90">
        <f t="shared" si="28"/>
        <v>4</v>
      </c>
      <c r="AO36" s="90">
        <f t="shared" si="28"/>
        <v>3</v>
      </c>
      <c r="AP36" s="90">
        <f t="shared" si="28"/>
        <v>3</v>
      </c>
      <c r="AQ36" s="90">
        <f t="shared" si="28"/>
        <v>4</v>
      </c>
      <c r="AR36" s="90">
        <f t="shared" si="28"/>
        <v>4</v>
      </c>
      <c r="AS36" s="90">
        <f t="shared" si="28"/>
        <v>3</v>
      </c>
      <c r="AT36" s="90">
        <f t="shared" si="28"/>
        <v>4</v>
      </c>
      <c r="AU36" s="90">
        <f t="shared" si="28"/>
        <v>4</v>
      </c>
      <c r="AV36" s="90">
        <f t="shared" si="28"/>
        <v>3</v>
      </c>
      <c r="AW36" s="90">
        <f t="shared" si="28"/>
        <v>4</v>
      </c>
      <c r="AX36" s="90">
        <f t="shared" si="28"/>
        <v>3</v>
      </c>
      <c r="AY36" s="90">
        <f t="shared" si="28"/>
        <v>3</v>
      </c>
      <c r="AZ36" s="90">
        <f t="shared" si="28"/>
        <v>3</v>
      </c>
      <c r="BA36" s="90">
        <f t="shared" si="28"/>
        <v>4</v>
      </c>
      <c r="BB36" s="90">
        <f t="shared" si="28"/>
        <v>0</v>
      </c>
      <c r="BC36" s="90">
        <f>SUM(X36:BB36)</f>
        <v>101</v>
      </c>
      <c r="BD36" s="301"/>
    </row>
    <row r="37" spans="1:70" s="1" customFormat="1" ht="15.75" thickBot="1" x14ac:dyDescent="0.3">
      <c r="J37" s="1" t="s">
        <v>253</v>
      </c>
      <c r="N37" s="147">
        <f>IFERROR(N35/O1,0)</f>
        <v>0</v>
      </c>
      <c r="BD37" s="299"/>
      <c r="BP37" s="31"/>
    </row>
    <row r="38" spans="1:70" s="2" customFormat="1" ht="16.5" thickTop="1" thickBot="1" x14ac:dyDescent="0.3">
      <c r="W38" s="17" t="s">
        <v>67</v>
      </c>
      <c r="X38" s="91">
        <f>SUMPRODUCT(X8:X34/$S$8:$S$34)</f>
        <v>0</v>
      </c>
      <c r="Y38" s="91">
        <f t="shared" ref="Y38:BB38" si="29">SUMPRODUCT(Y8:Y34/$S$8:$S$34)</f>
        <v>0</v>
      </c>
      <c r="Z38" s="91">
        <f t="shared" si="29"/>
        <v>0</v>
      </c>
      <c r="AA38" s="91">
        <f t="shared" si="29"/>
        <v>0</v>
      </c>
      <c r="AB38" s="91">
        <f>SUMPRODUCT(AB8:AB34/$S$8:$S$34)</f>
        <v>0</v>
      </c>
      <c r="AC38" s="91">
        <f t="shared" si="29"/>
        <v>0</v>
      </c>
      <c r="AD38" s="91">
        <f t="shared" si="29"/>
        <v>0</v>
      </c>
      <c r="AE38" s="91">
        <f t="shared" si="29"/>
        <v>0</v>
      </c>
      <c r="AF38" s="91">
        <f t="shared" si="29"/>
        <v>0</v>
      </c>
      <c r="AG38" s="91">
        <f t="shared" si="29"/>
        <v>0</v>
      </c>
      <c r="AH38" s="91">
        <f t="shared" si="29"/>
        <v>0</v>
      </c>
      <c r="AI38" s="91">
        <f t="shared" si="29"/>
        <v>0</v>
      </c>
      <c r="AJ38" s="91">
        <f t="shared" si="29"/>
        <v>0</v>
      </c>
      <c r="AK38" s="91">
        <f t="shared" si="29"/>
        <v>0</v>
      </c>
      <c r="AL38" s="91">
        <f t="shared" si="29"/>
        <v>0</v>
      </c>
      <c r="AM38" s="91">
        <f t="shared" si="29"/>
        <v>0</v>
      </c>
      <c r="AN38" s="91">
        <f t="shared" si="29"/>
        <v>0</v>
      </c>
      <c r="AO38" s="91">
        <f t="shared" si="29"/>
        <v>0</v>
      </c>
      <c r="AP38" s="91">
        <f t="shared" si="29"/>
        <v>0</v>
      </c>
      <c r="AQ38" s="91">
        <f t="shared" si="29"/>
        <v>0</v>
      </c>
      <c r="AR38" s="91">
        <f t="shared" si="29"/>
        <v>0</v>
      </c>
      <c r="AS38" s="91">
        <f t="shared" si="29"/>
        <v>0</v>
      </c>
      <c r="AT38" s="91">
        <f t="shared" si="29"/>
        <v>0</v>
      </c>
      <c r="AU38" s="91">
        <f t="shared" si="29"/>
        <v>0</v>
      </c>
      <c r="AV38" s="91">
        <f t="shared" si="29"/>
        <v>0</v>
      </c>
      <c r="AW38" s="91">
        <f t="shared" si="29"/>
        <v>0</v>
      </c>
      <c r="AX38" s="91">
        <f t="shared" si="29"/>
        <v>0</v>
      </c>
      <c r="AY38" s="91">
        <f t="shared" si="29"/>
        <v>0</v>
      </c>
      <c r="AZ38" s="91">
        <f t="shared" si="29"/>
        <v>0</v>
      </c>
      <c r="BA38" s="91">
        <f t="shared" si="29"/>
        <v>0</v>
      </c>
      <c r="BB38" s="91">
        <f t="shared" si="29"/>
        <v>0</v>
      </c>
      <c r="BC38" s="257">
        <f>SUM(X38:BB38)</f>
        <v>0</v>
      </c>
      <c r="BD38" s="291"/>
      <c r="BP38" s="409"/>
    </row>
    <row r="39" spans="1:70" s="2" customFormat="1" ht="15.75" thickBot="1" x14ac:dyDescent="0.3">
      <c r="W39" s="22" t="s">
        <v>68</v>
      </c>
      <c r="X39" s="27">
        <f>ROUND(X38/$N$2,1)</f>
        <v>0</v>
      </c>
      <c r="Y39" s="23">
        <f t="shared" ref="Y39:BB39" si="30">ROUND(Y38/$N$2,1)</f>
        <v>0</v>
      </c>
      <c r="Z39" s="23">
        <f t="shared" si="30"/>
        <v>0</v>
      </c>
      <c r="AA39" s="23">
        <f t="shared" si="30"/>
        <v>0</v>
      </c>
      <c r="AB39" s="23">
        <f t="shared" si="30"/>
        <v>0</v>
      </c>
      <c r="AC39" s="23">
        <f t="shared" si="30"/>
        <v>0</v>
      </c>
      <c r="AD39" s="23">
        <f t="shared" si="30"/>
        <v>0</v>
      </c>
      <c r="AE39" s="23">
        <f t="shared" si="30"/>
        <v>0</v>
      </c>
      <c r="AF39" s="23">
        <f t="shared" si="30"/>
        <v>0</v>
      </c>
      <c r="AG39" s="23">
        <f t="shared" si="30"/>
        <v>0</v>
      </c>
      <c r="AH39" s="23">
        <f t="shared" si="30"/>
        <v>0</v>
      </c>
      <c r="AI39" s="23">
        <f t="shared" si="30"/>
        <v>0</v>
      </c>
      <c r="AJ39" s="23">
        <f t="shared" si="30"/>
        <v>0</v>
      </c>
      <c r="AK39" s="23">
        <f t="shared" si="30"/>
        <v>0</v>
      </c>
      <c r="AL39" s="23">
        <f t="shared" si="30"/>
        <v>0</v>
      </c>
      <c r="AM39" s="23">
        <f t="shared" si="30"/>
        <v>0</v>
      </c>
      <c r="AN39" s="23">
        <f t="shared" si="30"/>
        <v>0</v>
      </c>
      <c r="AO39" s="23">
        <f t="shared" si="30"/>
        <v>0</v>
      </c>
      <c r="AP39" s="23">
        <f t="shared" si="30"/>
        <v>0</v>
      </c>
      <c r="AQ39" s="23">
        <f t="shared" si="30"/>
        <v>0</v>
      </c>
      <c r="AR39" s="23">
        <f t="shared" si="30"/>
        <v>0</v>
      </c>
      <c r="AS39" s="23">
        <f t="shared" si="30"/>
        <v>0</v>
      </c>
      <c r="AT39" s="23">
        <f t="shared" si="30"/>
        <v>0</v>
      </c>
      <c r="AU39" s="23">
        <f t="shared" si="30"/>
        <v>0</v>
      </c>
      <c r="AV39" s="23">
        <f t="shared" si="30"/>
        <v>0</v>
      </c>
      <c r="AW39" s="23">
        <f t="shared" si="30"/>
        <v>0</v>
      </c>
      <c r="AX39" s="23">
        <f t="shared" si="30"/>
        <v>0</v>
      </c>
      <c r="AY39" s="23">
        <f t="shared" si="30"/>
        <v>0</v>
      </c>
      <c r="AZ39" s="23">
        <f t="shared" si="30"/>
        <v>0</v>
      </c>
      <c r="BA39" s="23">
        <f t="shared" si="30"/>
        <v>0</v>
      </c>
      <c r="BB39" s="24">
        <f t="shared" si="30"/>
        <v>0</v>
      </c>
      <c r="BC39" s="260">
        <f>SUM(X39:BB39)</f>
        <v>0</v>
      </c>
      <c r="BD39" s="291"/>
      <c r="BP39" s="409"/>
    </row>
    <row r="40" spans="1:70" s="2" customFormat="1" ht="15.75" thickBot="1" x14ac:dyDescent="0.3">
      <c r="A40" s="12"/>
      <c r="B40" s="12"/>
      <c r="W40" s="21" t="s">
        <v>69</v>
      </c>
      <c r="X40" s="21" t="str">
        <f>IF(X39=0, "",IF(X39&gt;X41, "!!!", "ок"))</f>
        <v/>
      </c>
      <c r="Y40" s="21" t="str">
        <f t="shared" ref="Y40:BB40" si="31">IF(Y39=0, "",IF(Y39&gt;Y41, "!!!", "ок"))</f>
        <v/>
      </c>
      <c r="Z40" s="21" t="str">
        <f t="shared" si="31"/>
        <v/>
      </c>
      <c r="AA40" s="21" t="str">
        <f t="shared" si="31"/>
        <v/>
      </c>
      <c r="AB40" s="21" t="str">
        <f t="shared" si="31"/>
        <v/>
      </c>
      <c r="AC40" s="21" t="str">
        <f t="shared" si="31"/>
        <v/>
      </c>
      <c r="AD40" s="21" t="str">
        <f t="shared" si="31"/>
        <v/>
      </c>
      <c r="AE40" s="21" t="str">
        <f t="shared" si="31"/>
        <v/>
      </c>
      <c r="AF40" s="21" t="str">
        <f t="shared" si="31"/>
        <v/>
      </c>
      <c r="AG40" s="21" t="str">
        <f t="shared" si="31"/>
        <v/>
      </c>
      <c r="AH40" s="21" t="str">
        <f t="shared" si="31"/>
        <v/>
      </c>
      <c r="AI40" s="21" t="str">
        <f t="shared" si="31"/>
        <v/>
      </c>
      <c r="AJ40" s="21" t="str">
        <f t="shared" si="31"/>
        <v/>
      </c>
      <c r="AK40" s="21" t="str">
        <f t="shared" si="31"/>
        <v/>
      </c>
      <c r="AL40" s="21" t="str">
        <f t="shared" si="31"/>
        <v/>
      </c>
      <c r="AM40" s="21" t="str">
        <f t="shared" si="31"/>
        <v/>
      </c>
      <c r="AN40" s="21" t="str">
        <f t="shared" si="31"/>
        <v/>
      </c>
      <c r="AO40" s="21" t="str">
        <f t="shared" si="31"/>
        <v/>
      </c>
      <c r="AP40" s="21" t="str">
        <f t="shared" si="31"/>
        <v/>
      </c>
      <c r="AQ40" s="21" t="str">
        <f t="shared" si="31"/>
        <v/>
      </c>
      <c r="AR40" s="21" t="str">
        <f t="shared" si="31"/>
        <v/>
      </c>
      <c r="AS40" s="21" t="str">
        <f t="shared" si="31"/>
        <v/>
      </c>
      <c r="AT40" s="21" t="str">
        <f t="shared" si="31"/>
        <v/>
      </c>
      <c r="AU40" s="21" t="str">
        <f t="shared" si="31"/>
        <v/>
      </c>
      <c r="AV40" s="21" t="str">
        <f t="shared" si="31"/>
        <v/>
      </c>
      <c r="AW40" s="21" t="str">
        <f t="shared" si="31"/>
        <v/>
      </c>
      <c r="AX40" s="21" t="str">
        <f t="shared" si="31"/>
        <v/>
      </c>
      <c r="AY40" s="21" t="str">
        <f t="shared" si="31"/>
        <v/>
      </c>
      <c r="AZ40" s="21" t="str">
        <f t="shared" si="31"/>
        <v/>
      </c>
      <c r="BA40" s="21" t="str">
        <f t="shared" si="31"/>
        <v/>
      </c>
      <c r="BB40" s="21" t="str">
        <f t="shared" si="31"/>
        <v/>
      </c>
      <c r="BC40" s="258"/>
      <c r="BD40" s="293"/>
      <c r="BP40" s="409"/>
    </row>
    <row r="41" spans="1:70" s="3" customFormat="1" ht="29.25" customHeight="1" thickBot="1" x14ac:dyDescent="0.3">
      <c r="B41" s="52" t="s">
        <v>76</v>
      </c>
      <c r="C41" s="52"/>
      <c r="D41" s="52"/>
      <c r="E41" s="52"/>
      <c r="F41" s="284"/>
      <c r="G41" s="284"/>
      <c r="H41" s="284"/>
      <c r="I41" s="52"/>
      <c r="J41" s="52"/>
      <c r="K41" s="52"/>
      <c r="L41" s="52" t="s">
        <v>10</v>
      </c>
      <c r="M41" s="52" t="s">
        <v>5</v>
      </c>
      <c r="N41" s="52" t="s">
        <v>6</v>
      </c>
      <c r="O41" s="52" t="s">
        <v>79</v>
      </c>
      <c r="P41" s="2"/>
      <c r="Q41" s="2"/>
      <c r="W41" s="18" t="s">
        <v>66</v>
      </c>
      <c r="X41" s="19">
        <f>SUM(X42:X48)</f>
        <v>3</v>
      </c>
      <c r="Y41" s="19">
        <f t="shared" ref="Y41:BA41" si="32">SUM(Y42:Y48)</f>
        <v>4</v>
      </c>
      <c r="Z41" s="19">
        <f t="shared" si="32"/>
        <v>4</v>
      </c>
      <c r="AA41" s="19">
        <f t="shared" si="32"/>
        <v>3</v>
      </c>
      <c r="AB41" s="19">
        <f t="shared" si="32"/>
        <v>3</v>
      </c>
      <c r="AC41" s="19">
        <f t="shared" si="32"/>
        <v>3</v>
      </c>
      <c r="AD41" s="19">
        <f t="shared" si="32"/>
        <v>3</v>
      </c>
      <c r="AE41" s="19">
        <f t="shared" si="32"/>
        <v>3</v>
      </c>
      <c r="AF41" s="19">
        <f t="shared" si="32"/>
        <v>4</v>
      </c>
      <c r="AG41" s="19">
        <f t="shared" si="32"/>
        <v>3</v>
      </c>
      <c r="AH41" s="19">
        <f t="shared" si="32"/>
        <v>3</v>
      </c>
      <c r="AI41" s="19">
        <f t="shared" si="32"/>
        <v>3</v>
      </c>
      <c r="AJ41" s="19">
        <f t="shared" si="32"/>
        <v>4</v>
      </c>
      <c r="AK41" s="19">
        <f t="shared" si="32"/>
        <v>3</v>
      </c>
      <c r="AL41" s="19">
        <f t="shared" si="32"/>
        <v>3</v>
      </c>
      <c r="AM41" s="19">
        <f t="shared" si="32"/>
        <v>3</v>
      </c>
      <c r="AN41" s="19">
        <f t="shared" si="32"/>
        <v>4</v>
      </c>
      <c r="AO41" s="19">
        <f t="shared" si="32"/>
        <v>3</v>
      </c>
      <c r="AP41" s="19">
        <f t="shared" si="32"/>
        <v>3</v>
      </c>
      <c r="AQ41" s="19">
        <f t="shared" si="32"/>
        <v>4</v>
      </c>
      <c r="AR41" s="19">
        <f t="shared" si="32"/>
        <v>4</v>
      </c>
      <c r="AS41" s="19">
        <f t="shared" si="32"/>
        <v>3</v>
      </c>
      <c r="AT41" s="19">
        <f t="shared" si="32"/>
        <v>4</v>
      </c>
      <c r="AU41" s="19">
        <f t="shared" si="32"/>
        <v>4</v>
      </c>
      <c r="AV41" s="19">
        <f t="shared" si="32"/>
        <v>3</v>
      </c>
      <c r="AW41" s="19">
        <f t="shared" si="32"/>
        <v>4</v>
      </c>
      <c r="AX41" s="19">
        <f t="shared" si="32"/>
        <v>3</v>
      </c>
      <c r="AY41" s="19">
        <f t="shared" si="32"/>
        <v>3</v>
      </c>
      <c r="AZ41" s="19">
        <f t="shared" si="32"/>
        <v>3</v>
      </c>
      <c r="BA41" s="19">
        <f t="shared" si="32"/>
        <v>4</v>
      </c>
      <c r="BB41" s="20"/>
      <c r="BC41" s="261">
        <f>SUM(X41:BB41)</f>
        <v>101</v>
      </c>
      <c r="BD41" s="292"/>
      <c r="BI41" s="201"/>
      <c r="BP41" s="410"/>
    </row>
    <row r="42" spans="1:70" s="2" customFormat="1" x14ac:dyDescent="0.25">
      <c r="B42" s="8" t="s">
        <v>77</v>
      </c>
      <c r="C42" s="8"/>
      <c r="D42" s="8"/>
      <c r="E42" s="8"/>
      <c r="F42" s="285"/>
      <c r="G42" s="285"/>
      <c r="H42" s="285"/>
      <c r="I42" s="8"/>
      <c r="J42" s="8"/>
      <c r="K42" s="8"/>
      <c r="L42" s="8">
        <f>P35</f>
        <v>0</v>
      </c>
      <c r="M42" s="8">
        <f>N42*N2</f>
        <v>0</v>
      </c>
      <c r="N42" s="50"/>
      <c r="O42" s="8">
        <f>IFERROR(L42/M42,0)</f>
        <v>0</v>
      </c>
      <c r="V42" s="2">
        <v>17</v>
      </c>
      <c r="W42" s="96" t="s">
        <v>140</v>
      </c>
      <c r="X42" s="194" t="s">
        <v>112</v>
      </c>
      <c r="Y42" s="194" t="s">
        <v>112</v>
      </c>
      <c r="Z42" s="195">
        <v>1</v>
      </c>
      <c r="AA42" s="195">
        <v>1</v>
      </c>
      <c r="AB42" s="195">
        <v>1</v>
      </c>
      <c r="AC42" s="196" t="s">
        <v>112</v>
      </c>
      <c r="AD42" s="196" t="s">
        <v>112</v>
      </c>
      <c r="AE42" s="195">
        <v>1</v>
      </c>
      <c r="AF42" s="195">
        <v>1</v>
      </c>
      <c r="AG42" s="196" t="s">
        <v>112</v>
      </c>
      <c r="AH42" s="196" t="s">
        <v>112</v>
      </c>
      <c r="AI42" s="196" t="s">
        <v>112</v>
      </c>
      <c r="AJ42" s="196" t="s">
        <v>112</v>
      </c>
      <c r="AK42" s="195">
        <v>1</v>
      </c>
      <c r="AL42" s="195">
        <v>1</v>
      </c>
      <c r="AM42" s="195">
        <v>1</v>
      </c>
      <c r="AN42" s="195">
        <v>1</v>
      </c>
      <c r="AO42" s="196" t="s">
        <v>112</v>
      </c>
      <c r="AP42" s="196" t="s">
        <v>112</v>
      </c>
      <c r="AQ42" s="196" t="s">
        <v>112</v>
      </c>
      <c r="AR42" s="195">
        <v>1</v>
      </c>
      <c r="AS42" s="195">
        <v>1</v>
      </c>
      <c r="AT42" s="195">
        <v>1</v>
      </c>
      <c r="AU42" s="195">
        <v>1</v>
      </c>
      <c r="AV42" s="194" t="s">
        <v>112</v>
      </c>
      <c r="AW42" s="194" t="s">
        <v>112</v>
      </c>
      <c r="AX42" s="195">
        <v>1</v>
      </c>
      <c r="AY42" s="195">
        <v>1</v>
      </c>
      <c r="AZ42" s="195">
        <v>1</v>
      </c>
      <c r="BA42" s="195">
        <v>1</v>
      </c>
      <c r="BB42" s="48"/>
      <c r="BC42" s="259">
        <f>SUM(X42:BB42)</f>
        <v>17</v>
      </c>
      <c r="BD42" s="292"/>
      <c r="BP42" s="409"/>
    </row>
    <row r="43" spans="1:70" s="2" customFormat="1" x14ac:dyDescent="0.25">
      <c r="B43" s="9" t="s">
        <v>7</v>
      </c>
      <c r="C43" s="9"/>
      <c r="D43" s="9"/>
      <c r="E43" s="9"/>
      <c r="F43" s="286"/>
      <c r="G43" s="286"/>
      <c r="H43" s="286"/>
      <c r="I43" s="9"/>
      <c r="J43" s="9"/>
      <c r="K43" s="9"/>
      <c r="L43" s="10">
        <f>IFERROR(L42/L35,0)</f>
        <v>0</v>
      </c>
      <c r="M43" s="10">
        <f>IFERROR(M42/M35,0)</f>
        <v>0</v>
      </c>
      <c r="N43" s="10">
        <f>IFERROR(N42/N35,0)</f>
        <v>0</v>
      </c>
      <c r="O43" s="10">
        <f>IFERROR(O42/N3,0)</f>
        <v>0</v>
      </c>
      <c r="V43" s="2">
        <v>17</v>
      </c>
      <c r="W43" s="96" t="s">
        <v>141</v>
      </c>
      <c r="X43" s="195">
        <v>1</v>
      </c>
      <c r="Y43" s="195">
        <v>1</v>
      </c>
      <c r="Z43" s="196" t="s">
        <v>112</v>
      </c>
      <c r="AA43" s="196" t="s">
        <v>112</v>
      </c>
      <c r="AB43" s="195">
        <v>1</v>
      </c>
      <c r="AC43" s="196" t="s">
        <v>112</v>
      </c>
      <c r="AD43" s="196" t="s">
        <v>112</v>
      </c>
      <c r="AE43" s="196" t="s">
        <v>112</v>
      </c>
      <c r="AF43" s="196" t="s">
        <v>112</v>
      </c>
      <c r="AG43" s="195">
        <v>1</v>
      </c>
      <c r="AH43" s="195">
        <v>1</v>
      </c>
      <c r="AI43" s="195">
        <v>1</v>
      </c>
      <c r="AJ43" s="195">
        <v>1</v>
      </c>
      <c r="AK43" s="196" t="s">
        <v>112</v>
      </c>
      <c r="AL43" s="196" t="s">
        <v>112</v>
      </c>
      <c r="AM43" s="196" t="s">
        <v>112</v>
      </c>
      <c r="AN43" s="195">
        <v>1</v>
      </c>
      <c r="AO43" s="195">
        <v>1</v>
      </c>
      <c r="AP43" s="195">
        <v>1</v>
      </c>
      <c r="AQ43" s="195">
        <v>1</v>
      </c>
      <c r="AR43" s="196" t="s">
        <v>112</v>
      </c>
      <c r="AS43" s="196" t="s">
        <v>112</v>
      </c>
      <c r="AT43" s="195">
        <v>1</v>
      </c>
      <c r="AU43" s="195">
        <v>1</v>
      </c>
      <c r="AV43" s="195">
        <v>1</v>
      </c>
      <c r="AW43" s="195">
        <v>1</v>
      </c>
      <c r="AX43" s="194" t="s">
        <v>112</v>
      </c>
      <c r="AY43" s="194" t="s">
        <v>112</v>
      </c>
      <c r="AZ43" s="195">
        <v>1</v>
      </c>
      <c r="BA43" s="195">
        <v>1</v>
      </c>
      <c r="BB43" s="49"/>
      <c r="BC43" s="254">
        <f t="shared" ref="BC43:BC48" si="33">SUM(X43:BB43)</f>
        <v>17</v>
      </c>
      <c r="BD43" s="292"/>
      <c r="BP43" s="409"/>
    </row>
    <row r="44" spans="1:70" s="2" customFormat="1" x14ac:dyDescent="0.25">
      <c r="V44" s="2">
        <v>16</v>
      </c>
      <c r="W44" s="96" t="s">
        <v>142</v>
      </c>
      <c r="X44" s="195">
        <v>1</v>
      </c>
      <c r="Y44" s="194" t="s">
        <v>112</v>
      </c>
      <c r="Z44" s="194" t="s">
        <v>112</v>
      </c>
      <c r="AA44" s="194" t="s">
        <v>112</v>
      </c>
      <c r="AB44" s="194" t="s">
        <v>112</v>
      </c>
      <c r="AC44" s="195">
        <v>1</v>
      </c>
      <c r="AD44" s="195">
        <v>1</v>
      </c>
      <c r="AE44" s="194" t="s">
        <v>112</v>
      </c>
      <c r="AF44" s="194" t="s">
        <v>112</v>
      </c>
      <c r="AG44" s="195">
        <v>1</v>
      </c>
      <c r="AH44" s="195">
        <v>1</v>
      </c>
      <c r="AI44" s="195">
        <v>1</v>
      </c>
      <c r="AJ44" s="195">
        <v>1</v>
      </c>
      <c r="AK44" s="194" t="s">
        <v>112</v>
      </c>
      <c r="AL44" s="194" t="s">
        <v>112</v>
      </c>
      <c r="AM44" s="195">
        <v>1</v>
      </c>
      <c r="AN44" s="195">
        <v>1</v>
      </c>
      <c r="AO44" s="195">
        <v>1</v>
      </c>
      <c r="AP44" s="195">
        <v>1</v>
      </c>
      <c r="AQ44" s="194" t="s">
        <v>112</v>
      </c>
      <c r="AR44" s="194" t="s">
        <v>112</v>
      </c>
      <c r="AS44" s="194" t="s">
        <v>112</v>
      </c>
      <c r="AT44" s="195">
        <v>1</v>
      </c>
      <c r="AU44" s="195">
        <v>1</v>
      </c>
      <c r="AV44" s="194" t="s">
        <v>112</v>
      </c>
      <c r="AW44" s="194" t="s">
        <v>112</v>
      </c>
      <c r="AX44" s="194" t="s">
        <v>112</v>
      </c>
      <c r="AY44" s="195">
        <v>1</v>
      </c>
      <c r="AZ44" s="195">
        <v>1</v>
      </c>
      <c r="BA44" s="195">
        <v>1</v>
      </c>
      <c r="BB44" s="49"/>
      <c r="BC44" s="254">
        <f t="shared" si="33"/>
        <v>16</v>
      </c>
      <c r="BD44" s="292"/>
      <c r="BP44" s="409"/>
    </row>
    <row r="45" spans="1:70" s="2" customFormat="1" x14ac:dyDescent="0.25">
      <c r="V45" s="2">
        <v>17</v>
      </c>
      <c r="W45" s="96" t="s">
        <v>143</v>
      </c>
      <c r="X45" s="195">
        <v>1</v>
      </c>
      <c r="Y45" s="195">
        <v>1</v>
      </c>
      <c r="Z45" s="195">
        <v>1</v>
      </c>
      <c r="AA45" s="194" t="s">
        <v>112</v>
      </c>
      <c r="AB45" s="194" t="s">
        <v>112</v>
      </c>
      <c r="AC45" s="195">
        <v>1</v>
      </c>
      <c r="AD45" s="195">
        <v>1</v>
      </c>
      <c r="AE45" s="195">
        <v>1</v>
      </c>
      <c r="AF45" s="195">
        <v>1</v>
      </c>
      <c r="AG45" s="194" t="s">
        <v>112</v>
      </c>
      <c r="AH45" s="194" t="s">
        <v>112</v>
      </c>
      <c r="AI45" s="194" t="s">
        <v>112</v>
      </c>
      <c r="AJ45" s="195">
        <v>1</v>
      </c>
      <c r="AK45" s="195">
        <v>1</v>
      </c>
      <c r="AL45" s="195">
        <v>1</v>
      </c>
      <c r="AM45" s="194" t="s">
        <v>112</v>
      </c>
      <c r="AN45" s="194" t="s">
        <v>112</v>
      </c>
      <c r="AO45" s="194" t="s">
        <v>112</v>
      </c>
      <c r="AP45" s="195">
        <v>1</v>
      </c>
      <c r="AQ45" s="195">
        <v>1</v>
      </c>
      <c r="AR45" s="195">
        <v>1</v>
      </c>
      <c r="AS45" s="194" t="s">
        <v>112</v>
      </c>
      <c r="AT45" s="194" t="s">
        <v>112</v>
      </c>
      <c r="AU45" s="195">
        <v>1</v>
      </c>
      <c r="AV45" s="195">
        <v>1</v>
      </c>
      <c r="AW45" s="195">
        <v>1</v>
      </c>
      <c r="AX45" s="194" t="s">
        <v>112</v>
      </c>
      <c r="AY45" s="194" t="s">
        <v>112</v>
      </c>
      <c r="AZ45" s="194" t="s">
        <v>112</v>
      </c>
      <c r="BA45" s="195">
        <v>1</v>
      </c>
      <c r="BB45" s="49"/>
      <c r="BC45" s="254">
        <f t="shared" si="33"/>
        <v>17</v>
      </c>
      <c r="BD45" s="292"/>
      <c r="BP45" s="409"/>
    </row>
    <row r="46" spans="1:70" x14ac:dyDescent="0.25">
      <c r="B46" s="281" t="s">
        <v>315</v>
      </c>
      <c r="C46" s="281" t="s">
        <v>316</v>
      </c>
      <c r="D46" s="281" t="s">
        <v>317</v>
      </c>
      <c r="V46" s="145">
        <v>17</v>
      </c>
      <c r="W46" s="96" t="s">
        <v>144</v>
      </c>
      <c r="X46" s="194" t="s">
        <v>112</v>
      </c>
      <c r="Y46" s="195">
        <v>1</v>
      </c>
      <c r="Z46" s="195">
        <v>1</v>
      </c>
      <c r="AA46" s="195">
        <v>1</v>
      </c>
      <c r="AB46" s="194" t="s">
        <v>112</v>
      </c>
      <c r="AC46" s="194" t="s">
        <v>112</v>
      </c>
      <c r="AD46" s="195">
        <v>1</v>
      </c>
      <c r="AE46" s="195">
        <v>1</v>
      </c>
      <c r="AF46" s="195">
        <v>1</v>
      </c>
      <c r="AG46" s="194" t="s">
        <v>112</v>
      </c>
      <c r="AH46" s="194" t="s">
        <v>112</v>
      </c>
      <c r="AI46" s="194" t="s">
        <v>112</v>
      </c>
      <c r="AJ46" s="195">
        <v>1</v>
      </c>
      <c r="AK46" s="195">
        <v>1</v>
      </c>
      <c r="AL46" s="195">
        <v>1</v>
      </c>
      <c r="AM46" s="195">
        <v>1</v>
      </c>
      <c r="AN46" s="194" t="s">
        <v>112</v>
      </c>
      <c r="AO46" s="194" t="s">
        <v>112</v>
      </c>
      <c r="AP46" s="194" t="s">
        <v>112</v>
      </c>
      <c r="AQ46" s="195">
        <v>1</v>
      </c>
      <c r="AR46" s="195">
        <v>1</v>
      </c>
      <c r="AS46" s="195">
        <v>1</v>
      </c>
      <c r="AT46" s="194" t="s">
        <v>112</v>
      </c>
      <c r="AU46" s="194" t="s">
        <v>112</v>
      </c>
      <c r="AV46" s="195">
        <v>1</v>
      </c>
      <c r="AW46" s="195">
        <v>1</v>
      </c>
      <c r="AX46" s="195">
        <v>1</v>
      </c>
      <c r="AY46" s="195">
        <v>1</v>
      </c>
      <c r="AZ46" s="194" t="s">
        <v>112</v>
      </c>
      <c r="BA46" s="194" t="s">
        <v>112</v>
      </c>
      <c r="BB46" s="49"/>
      <c r="BC46" s="254">
        <f t="shared" si="33"/>
        <v>17</v>
      </c>
      <c r="BD46" s="292"/>
    </row>
    <row r="47" spans="1:70" x14ac:dyDescent="0.25">
      <c r="B47" s="198" t="s">
        <v>291</v>
      </c>
      <c r="C47" s="282"/>
      <c r="D47" s="280">
        <f>IFERROR(C47/$O$1,"")</f>
        <v>0</v>
      </c>
      <c r="V47" s="145">
        <v>17</v>
      </c>
      <c r="W47" s="96" t="s">
        <v>145</v>
      </c>
      <c r="X47" s="194" t="s">
        <v>112</v>
      </c>
      <c r="Y47" s="195">
        <v>1</v>
      </c>
      <c r="Z47" s="195">
        <v>1</v>
      </c>
      <c r="AA47" s="195">
        <v>1</v>
      </c>
      <c r="AB47" s="195">
        <v>1</v>
      </c>
      <c r="AC47" s="195">
        <v>1</v>
      </c>
      <c r="AD47" s="194" t="s">
        <v>112</v>
      </c>
      <c r="AE47" s="194" t="s">
        <v>112</v>
      </c>
      <c r="AF47" s="195">
        <v>1</v>
      </c>
      <c r="AG47" s="195">
        <v>1</v>
      </c>
      <c r="AH47" s="195">
        <v>1</v>
      </c>
      <c r="AI47" s="195">
        <v>1</v>
      </c>
      <c r="AJ47" s="194" t="s">
        <v>112</v>
      </c>
      <c r="AK47" s="194" t="s">
        <v>112</v>
      </c>
      <c r="AL47" s="194" t="s">
        <v>112</v>
      </c>
      <c r="AM47" s="194" t="s">
        <v>112</v>
      </c>
      <c r="AN47" s="195">
        <v>1</v>
      </c>
      <c r="AO47" s="195">
        <v>1</v>
      </c>
      <c r="AP47" s="194" t="s">
        <v>112</v>
      </c>
      <c r="AQ47" s="195">
        <v>1</v>
      </c>
      <c r="AR47" s="195">
        <v>1</v>
      </c>
      <c r="AS47" s="195">
        <v>1</v>
      </c>
      <c r="AT47" s="195">
        <v>1</v>
      </c>
      <c r="AU47" s="194" t="s">
        <v>112</v>
      </c>
      <c r="AV47" s="194" t="s">
        <v>112</v>
      </c>
      <c r="AW47" s="195">
        <v>1</v>
      </c>
      <c r="AX47" s="195">
        <v>1</v>
      </c>
      <c r="AY47" s="194" t="s">
        <v>112</v>
      </c>
      <c r="AZ47" s="194" t="s">
        <v>112</v>
      </c>
      <c r="BA47" s="194" t="s">
        <v>112</v>
      </c>
      <c r="BB47" s="49"/>
      <c r="BC47" s="254">
        <f t="shared" si="33"/>
        <v>17</v>
      </c>
      <c r="BD47" s="292"/>
    </row>
    <row r="48" spans="1:70" ht="15.75" thickBot="1" x14ac:dyDescent="0.3">
      <c r="B48" s="198" t="s">
        <v>292</v>
      </c>
      <c r="C48" s="282"/>
      <c r="D48" s="280">
        <f>IFERROR(C48/$O$1,"")</f>
        <v>0</v>
      </c>
      <c r="V48">
        <f>SUM(V42:V47)</f>
        <v>101</v>
      </c>
      <c r="W48" s="96" t="s">
        <v>65</v>
      </c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255">
        <f t="shared" si="33"/>
        <v>0</v>
      </c>
      <c r="BD48" s="292"/>
    </row>
    <row r="49" spans="2:56" ht="15.75" thickTop="1" x14ac:dyDescent="0.25">
      <c r="B49" s="198" t="s">
        <v>293</v>
      </c>
      <c r="C49" s="282"/>
      <c r="D49" s="280">
        <f>IFERROR(C49/$O$1,"")</f>
        <v>0</v>
      </c>
    </row>
    <row r="50" spans="2:56" ht="15.75" thickBot="1" x14ac:dyDescent="0.3">
      <c r="B50" s="198" t="s">
        <v>294</v>
      </c>
      <c r="C50" s="282"/>
      <c r="D50" s="280">
        <f>IFERROR(C50/$O$1,"")</f>
        <v>0</v>
      </c>
      <c r="U50" s="181"/>
      <c r="V50" s="181"/>
      <c r="W50" s="414" t="s">
        <v>313</v>
      </c>
      <c r="X50" s="414"/>
      <c r="Y50" s="414"/>
      <c r="Z50" s="414"/>
      <c r="AA50" s="414"/>
      <c r="AB50" s="414"/>
      <c r="AC50" s="414"/>
      <c r="AD50" s="414"/>
      <c r="AE50" s="414"/>
      <c r="AF50" s="414"/>
      <c r="AG50" s="414"/>
      <c r="AH50" s="414"/>
      <c r="AI50" s="414"/>
      <c r="AJ50" s="414"/>
      <c r="AK50" s="414"/>
      <c r="AL50" s="414"/>
      <c r="AM50" s="414"/>
      <c r="AN50" s="414"/>
      <c r="AO50" s="414"/>
      <c r="AP50" s="414"/>
      <c r="AQ50" s="414"/>
      <c r="AR50" s="414"/>
      <c r="AS50" s="414"/>
      <c r="AT50" s="414"/>
      <c r="AU50" s="414"/>
      <c r="AV50" s="414"/>
      <c r="AW50" s="414"/>
      <c r="AX50" s="414"/>
      <c r="AY50" s="414"/>
      <c r="AZ50" s="414"/>
      <c r="BA50" s="414"/>
      <c r="BB50" s="414"/>
      <c r="BC50" s="201"/>
      <c r="BD50" s="300"/>
    </row>
    <row r="51" spans="2:56" ht="16.5" thickTop="1" thickBot="1" x14ac:dyDescent="0.3">
      <c r="B51" s="198" t="s">
        <v>295</v>
      </c>
      <c r="C51" s="282"/>
      <c r="D51" s="280">
        <f>IFERROR(C51/$O$1,"")</f>
        <v>0</v>
      </c>
      <c r="U51" s="415" t="s">
        <v>312</v>
      </c>
      <c r="V51" s="416"/>
      <c r="W51" s="246" t="s">
        <v>314</v>
      </c>
      <c r="X51" s="159">
        <v>1</v>
      </c>
      <c r="Y51" s="57">
        <v>2</v>
      </c>
      <c r="Z51" s="16">
        <v>3</v>
      </c>
      <c r="AA51" s="16">
        <v>4</v>
      </c>
      <c r="AB51" s="16">
        <v>5</v>
      </c>
      <c r="AC51" s="16">
        <v>6</v>
      </c>
      <c r="AD51" s="16">
        <v>7</v>
      </c>
      <c r="AE51" s="57">
        <v>8</v>
      </c>
      <c r="AF51" s="57">
        <v>9</v>
      </c>
      <c r="AG51" s="16">
        <v>10</v>
      </c>
      <c r="AH51" s="16">
        <v>11</v>
      </c>
      <c r="AI51" s="16">
        <v>12</v>
      </c>
      <c r="AJ51" s="16">
        <v>13</v>
      </c>
      <c r="AK51" s="16">
        <v>14</v>
      </c>
      <c r="AL51" s="57">
        <v>15</v>
      </c>
      <c r="AM51" s="57">
        <v>16</v>
      </c>
      <c r="AN51" s="16">
        <v>17</v>
      </c>
      <c r="AO51" s="16">
        <v>18</v>
      </c>
      <c r="AP51" s="16">
        <v>19</v>
      </c>
      <c r="AQ51" s="16">
        <v>20</v>
      </c>
      <c r="AR51" s="16">
        <v>21</v>
      </c>
      <c r="AS51" s="57">
        <v>22</v>
      </c>
      <c r="AT51" s="57">
        <v>23</v>
      </c>
      <c r="AU51" s="16">
        <v>24</v>
      </c>
      <c r="AV51" s="16">
        <v>25</v>
      </c>
      <c r="AW51" s="16">
        <v>26</v>
      </c>
      <c r="AX51" s="16">
        <v>27</v>
      </c>
      <c r="AY51" s="16">
        <v>28</v>
      </c>
      <c r="AZ51" s="57">
        <v>29</v>
      </c>
      <c r="BA51" s="57">
        <v>30</v>
      </c>
      <c r="BB51" s="253"/>
      <c r="BC51" s="256" t="s">
        <v>159</v>
      </c>
      <c r="BD51" s="292"/>
    </row>
    <row r="52" spans="2:56" x14ac:dyDescent="0.25">
      <c r="U52" s="412"/>
      <c r="V52" s="413"/>
      <c r="W52" s="96" t="s">
        <v>140</v>
      </c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252"/>
      <c r="BC52" s="254">
        <f t="shared" ref="BC52:BC58" si="34">SUM(X52:BB52)</f>
        <v>0</v>
      </c>
      <c r="BD52" s="292"/>
    </row>
    <row r="53" spans="2:56" x14ac:dyDescent="0.25">
      <c r="U53" s="412"/>
      <c r="V53" s="413"/>
      <c r="W53" s="96" t="s">
        <v>141</v>
      </c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252"/>
      <c r="BC53" s="254">
        <f t="shared" si="34"/>
        <v>0</v>
      </c>
      <c r="BD53" s="292"/>
    </row>
    <row r="54" spans="2:56" x14ac:dyDescent="0.25">
      <c r="U54" s="412"/>
      <c r="V54" s="413"/>
      <c r="W54" s="96" t="s">
        <v>142</v>
      </c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252"/>
      <c r="BC54" s="254">
        <f t="shared" si="34"/>
        <v>0</v>
      </c>
      <c r="BD54" s="292"/>
    </row>
    <row r="55" spans="2:56" x14ac:dyDescent="0.25">
      <c r="U55" s="412"/>
      <c r="V55" s="413"/>
      <c r="W55" s="96" t="s">
        <v>143</v>
      </c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252"/>
      <c r="BC55" s="254">
        <f t="shared" si="34"/>
        <v>0</v>
      </c>
      <c r="BD55" s="292"/>
    </row>
    <row r="56" spans="2:56" x14ac:dyDescent="0.25">
      <c r="U56" s="412"/>
      <c r="V56" s="413"/>
      <c r="W56" s="96" t="s">
        <v>144</v>
      </c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252"/>
      <c r="BC56" s="254">
        <f t="shared" si="34"/>
        <v>0</v>
      </c>
      <c r="BD56" s="292"/>
    </row>
    <row r="57" spans="2:56" x14ac:dyDescent="0.25">
      <c r="U57" s="412"/>
      <c r="V57" s="413"/>
      <c r="W57" s="96" t="s">
        <v>145</v>
      </c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252"/>
      <c r="BC57" s="254">
        <f t="shared" si="34"/>
        <v>0</v>
      </c>
      <c r="BD57" s="292"/>
    </row>
    <row r="58" spans="2:56" ht="15.75" thickBot="1" x14ac:dyDescent="0.3">
      <c r="U58" s="412"/>
      <c r="V58" s="413"/>
      <c r="W58" s="96" t="s">
        <v>65</v>
      </c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252"/>
      <c r="BC58" s="255">
        <f t="shared" si="34"/>
        <v>0</v>
      </c>
      <c r="BD58" s="292"/>
    </row>
    <row r="59" spans="2:56" ht="15.75" thickTop="1" x14ac:dyDescent="0.25"/>
  </sheetData>
  <mergeCells count="43">
    <mergeCell ref="I6:J6"/>
    <mergeCell ref="A36:E36"/>
    <mergeCell ref="M6:N6"/>
    <mergeCell ref="O6:O7"/>
    <mergeCell ref="P6:P7"/>
    <mergeCell ref="A5:A7"/>
    <mergeCell ref="P5:Q5"/>
    <mergeCell ref="B6:B7"/>
    <mergeCell ref="B5:E5"/>
    <mergeCell ref="F6:F7"/>
    <mergeCell ref="F5:O5"/>
    <mergeCell ref="G6:G7"/>
    <mergeCell ref="C6:E6"/>
    <mergeCell ref="K6:K7"/>
    <mergeCell ref="H6:H7"/>
    <mergeCell ref="L6:L7"/>
    <mergeCell ref="BP5:BQ6"/>
    <mergeCell ref="W50:BB50"/>
    <mergeCell ref="U51:V51"/>
    <mergeCell ref="BM5:BN6"/>
    <mergeCell ref="BC5:BD5"/>
    <mergeCell ref="Q6:Q7"/>
    <mergeCell ref="R6:R7"/>
    <mergeCell ref="S6:S7"/>
    <mergeCell ref="X5:BB5"/>
    <mergeCell ref="BO5:BO7"/>
    <mergeCell ref="U52:V52"/>
    <mergeCell ref="BF5:BF7"/>
    <mergeCell ref="BG5:BH6"/>
    <mergeCell ref="BJ5:BK6"/>
    <mergeCell ref="BL5:BL7"/>
    <mergeCell ref="W5:W7"/>
    <mergeCell ref="U6:U7"/>
    <mergeCell ref="V6:V7"/>
    <mergeCell ref="R5:V5"/>
    <mergeCell ref="BI5:BI7"/>
    <mergeCell ref="T6:T7"/>
    <mergeCell ref="U58:V58"/>
    <mergeCell ref="U53:V53"/>
    <mergeCell ref="U54:V54"/>
    <mergeCell ref="U55:V55"/>
    <mergeCell ref="U56:V56"/>
    <mergeCell ref="U57:V57"/>
  </mergeCells>
  <conditionalFormatting sqref="X42:BB48">
    <cfRule type="cellIs" dxfId="17" priority="24" operator="equal">
      <formula>1</formula>
    </cfRule>
  </conditionalFormatting>
  <conditionalFormatting sqref="X40:BB40">
    <cfRule type="cellIs" dxfId="16" priority="23" operator="equal">
      <formula>"!!!"</formula>
    </cfRule>
  </conditionalFormatting>
  <conditionalFormatting sqref="W8:W34">
    <cfRule type="cellIs" dxfId="15" priority="19" operator="lessThan">
      <formula>0</formula>
    </cfRule>
    <cfRule type="cellIs" dxfId="14" priority="20" operator="equal">
      <formula>0</formula>
    </cfRule>
  </conditionalFormatting>
  <conditionalFormatting sqref="X36:BB36">
    <cfRule type="cellIs" dxfId="13" priority="13" operator="lessThan">
      <formula>-0.1</formula>
    </cfRule>
    <cfRule type="cellIs" dxfId="12" priority="14" operator="equal">
      <formula>0</formula>
    </cfRule>
  </conditionalFormatting>
  <conditionalFormatting sqref="BQ8:BQ34">
    <cfRule type="cellIs" dxfId="11" priority="11" operator="equal">
      <formula>0</formula>
    </cfRule>
  </conditionalFormatting>
  <conditionalFormatting sqref="BF8:BF34 BH8:BI34 BK8:BP34">
    <cfRule type="cellIs" dxfId="10" priority="12" operator="equal">
      <formula>0</formula>
    </cfRule>
  </conditionalFormatting>
  <conditionalFormatting sqref="W50">
    <cfRule type="cellIs" dxfId="9" priority="10" operator="equal">
      <formula>1</formula>
    </cfRule>
  </conditionalFormatting>
  <conditionalFormatting sqref="X52:BB58">
    <cfRule type="cellIs" dxfId="8" priority="9" operator="equal">
      <formula>1</formula>
    </cfRule>
  </conditionalFormatting>
  <conditionalFormatting sqref="BC36:BD36">
    <cfRule type="cellIs" dxfId="7" priority="7" operator="lessThan">
      <formula>-0.1</formula>
    </cfRule>
    <cfRule type="cellIs" dxfId="6" priority="8" operator="equal">
      <formula>0</formula>
    </cfRule>
  </conditionalFormatting>
  <conditionalFormatting sqref="X6:BB6">
    <cfRule type="containsText" dxfId="5" priority="5" operator="containsText" text="пл">
      <formula>NOT(ISERROR(SEARCH("пл",X6)))</formula>
    </cfRule>
    <cfRule type="containsText" dxfId="4" priority="6" operator="containsText" text="ф">
      <formula>NOT(ISERROR(SEARCH("ф",X6)))</formula>
    </cfRule>
  </conditionalFormatting>
  <conditionalFormatting sqref="BD6">
    <cfRule type="containsText" dxfId="3" priority="3" operator="containsText" text="пл">
      <formula>NOT(ISERROR(SEARCH("пл",BD6)))</formula>
    </cfRule>
    <cfRule type="containsText" dxfId="2" priority="4" operator="containsText" text="ф">
      <formula>NOT(ISERROR(SEARCH("ф",BD6)))</formula>
    </cfRule>
  </conditionalFormatting>
  <conditionalFormatting sqref="BC6">
    <cfRule type="containsText" dxfId="1" priority="1" operator="containsText" text="пл">
      <formula>NOT(ISERROR(SEARCH("пл",BC6)))</formula>
    </cfRule>
    <cfRule type="containsText" dxfId="0" priority="2" operator="containsText" text="ф">
      <formula>NOT(ISERROR(SEARCH("ф",BC6)))</formula>
    </cfRule>
  </conditionalFormatting>
  <dataValidations count="1">
    <dataValidation type="list" allowBlank="1" showInputMessage="1" showErrorMessage="1" sqref="BJ3" xr:uid="{00000000-0002-0000-0600-000000000000}">
      <formula1>$CD$1:$CD$2</formula1>
    </dataValidation>
  </dataValidations>
  <pageMargins left="0" right="0" top="0" bottom="0" header="0.31496062992125984" footer="0.31496062992125984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AW146"/>
  <sheetViews>
    <sheetView workbookViewId="0">
      <pane xSplit="1" topLeftCell="O1" activePane="topRight" state="frozen"/>
      <selection activeCell="A74" sqref="A74"/>
      <selection pane="topRight" activeCell="B177" sqref="B177"/>
    </sheetView>
  </sheetViews>
  <sheetFormatPr defaultRowHeight="15" outlineLevelRow="1" x14ac:dyDescent="0.25"/>
  <cols>
    <col min="1" max="1" width="43.28515625" style="112" customWidth="1"/>
    <col min="2" max="5" width="10" style="111" customWidth="1"/>
    <col min="6" max="6" width="11" style="111" customWidth="1"/>
    <col min="7" max="9" width="10" style="111" customWidth="1"/>
    <col min="10" max="10" width="9.85546875" style="111" bestFit="1" customWidth="1"/>
    <col min="11" max="13" width="10.140625" style="111" customWidth="1"/>
    <col min="14" max="14" width="11.5703125" style="114" customWidth="1"/>
    <col min="15" max="15" width="9.85546875" style="111" bestFit="1" customWidth="1"/>
    <col min="16" max="49" width="9.140625" style="111"/>
    <col min="50" max="16384" width="9.140625" style="112"/>
  </cols>
  <sheetData>
    <row r="1" spans="1:49" s="106" customFormat="1" hidden="1" outlineLevel="1" x14ac:dyDescent="0.25">
      <c r="B1" s="107">
        <v>2017</v>
      </c>
      <c r="C1" s="107">
        <v>2017</v>
      </c>
      <c r="D1" s="107">
        <v>2017</v>
      </c>
      <c r="E1" s="107">
        <v>2017</v>
      </c>
      <c r="F1" s="107">
        <v>2017</v>
      </c>
      <c r="G1" s="107">
        <v>2017</v>
      </c>
      <c r="H1" s="107">
        <v>2017</v>
      </c>
      <c r="I1" s="107">
        <v>2017</v>
      </c>
      <c r="J1" s="107">
        <v>2017</v>
      </c>
      <c r="K1" s="107">
        <v>2017</v>
      </c>
      <c r="L1" s="107">
        <v>2017</v>
      </c>
      <c r="M1" s="107">
        <v>2017</v>
      </c>
      <c r="N1" s="31"/>
      <c r="O1" s="108"/>
      <c r="P1" s="108"/>
      <c r="Q1" s="109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</row>
    <row r="2" spans="1:49" hidden="1" outlineLevel="1" x14ac:dyDescent="0.25">
      <c r="A2" s="110" t="s">
        <v>146</v>
      </c>
      <c r="B2" s="31" t="s">
        <v>147</v>
      </c>
      <c r="C2" s="31" t="s">
        <v>148</v>
      </c>
      <c r="D2" s="31" t="s">
        <v>149</v>
      </c>
      <c r="E2" s="31" t="s">
        <v>150</v>
      </c>
      <c r="F2" s="31" t="s">
        <v>151</v>
      </c>
      <c r="G2" s="31" t="s">
        <v>152</v>
      </c>
      <c r="H2" s="31" t="s">
        <v>153</v>
      </c>
      <c r="I2" s="31" t="s">
        <v>154</v>
      </c>
      <c r="J2" s="31" t="s">
        <v>155</v>
      </c>
      <c r="K2" s="31" t="s">
        <v>156</v>
      </c>
      <c r="L2" s="31" t="s">
        <v>157</v>
      </c>
      <c r="M2" s="31" t="s">
        <v>158</v>
      </c>
      <c r="N2" s="31" t="s">
        <v>159</v>
      </c>
      <c r="O2" s="111" t="s">
        <v>160</v>
      </c>
    </row>
    <row r="3" spans="1:49" hidden="1" outlineLevel="1" x14ac:dyDescent="0.25">
      <c r="A3" s="113" t="s">
        <v>161</v>
      </c>
      <c r="B3" s="111">
        <v>53822740.030000001</v>
      </c>
      <c r="C3" s="111">
        <v>53647356.700000003</v>
      </c>
      <c r="D3" s="111">
        <v>61707951.850000001</v>
      </c>
      <c r="E3" s="111">
        <v>63755732.359999999</v>
      </c>
      <c r="F3" s="111">
        <v>55069629.869999997</v>
      </c>
      <c r="G3" s="111">
        <v>51896827.969999999</v>
      </c>
      <c r="H3" s="111">
        <v>51688655.780000001</v>
      </c>
      <c r="I3" s="111">
        <v>54086601.409999996</v>
      </c>
      <c r="J3" s="111">
        <v>59333842.950000003</v>
      </c>
      <c r="K3" s="111">
        <v>64950130.630000003</v>
      </c>
      <c r="L3" s="111">
        <v>59233311.947040007</v>
      </c>
      <c r="M3" s="111">
        <v>69224744.33642</v>
      </c>
      <c r="N3" s="114">
        <f t="shared" ref="N3:N34" si="0">SUM(B3:M3)</f>
        <v>698417525.83345985</v>
      </c>
      <c r="O3" s="111">
        <f t="shared" ref="O3:O66" si="1">AVERAGE(B3:M3)</f>
        <v>58201460.486121655</v>
      </c>
    </row>
    <row r="4" spans="1:49" hidden="1" outlineLevel="1" x14ac:dyDescent="0.25">
      <c r="A4" s="113" t="s">
        <v>162</v>
      </c>
      <c r="B4" s="111">
        <v>22411279.32</v>
      </c>
      <c r="C4" s="111">
        <v>23018973.260000002</v>
      </c>
      <c r="D4" s="111">
        <v>25393978.43</v>
      </c>
      <c r="E4" s="111">
        <v>28576857.940000001</v>
      </c>
      <c r="F4" s="111">
        <v>21097403.48</v>
      </c>
      <c r="G4" s="111">
        <v>20053376.210000001</v>
      </c>
      <c r="H4" s="111">
        <v>19966943.280000001</v>
      </c>
      <c r="I4" s="111">
        <v>20674991.789999999</v>
      </c>
      <c r="J4" s="111">
        <v>23280255.039999999</v>
      </c>
      <c r="K4" s="111">
        <v>25589585.09</v>
      </c>
      <c r="L4" s="111">
        <v>23607850.432320002</v>
      </c>
      <c r="M4" s="111">
        <v>30531826.883400001</v>
      </c>
      <c r="N4" s="114">
        <f t="shared" si="0"/>
        <v>284203321.15572</v>
      </c>
      <c r="O4" s="111">
        <f t="shared" si="1"/>
        <v>23683610.096310001</v>
      </c>
    </row>
    <row r="5" spans="1:49" hidden="1" outlineLevel="1" x14ac:dyDescent="0.25">
      <c r="A5" s="112" t="s">
        <v>163</v>
      </c>
      <c r="B5" s="111">
        <v>271673.28000000003</v>
      </c>
      <c r="C5" s="111">
        <v>250647.57</v>
      </c>
      <c r="D5" s="111">
        <v>255471.28</v>
      </c>
      <c r="E5" s="111">
        <v>213756.15</v>
      </c>
      <c r="F5" s="111">
        <v>222809.41</v>
      </c>
      <c r="G5" s="111">
        <v>172685.7</v>
      </c>
      <c r="H5" s="111">
        <v>173806.1</v>
      </c>
      <c r="I5" s="111">
        <v>172366.04</v>
      </c>
      <c r="J5" s="111">
        <v>241091.72</v>
      </c>
      <c r="K5" s="111">
        <v>237634.16</v>
      </c>
      <c r="L5" s="111">
        <v>142360.70772000001</v>
      </c>
      <c r="M5" s="111">
        <v>133320.53616000002</v>
      </c>
      <c r="N5" s="114">
        <f t="shared" si="0"/>
        <v>2487622.6538800001</v>
      </c>
      <c r="O5" s="111">
        <f t="shared" si="1"/>
        <v>207301.88782333335</v>
      </c>
    </row>
    <row r="6" spans="1:49" hidden="1" outlineLevel="1" x14ac:dyDescent="0.25">
      <c r="A6" s="112" t="s">
        <v>164</v>
      </c>
      <c r="B6" s="111">
        <v>65317.86</v>
      </c>
      <c r="C6" s="111">
        <v>100094.59</v>
      </c>
      <c r="D6" s="111">
        <v>85808.639999999999</v>
      </c>
      <c r="E6" s="111">
        <v>70308.850000000006</v>
      </c>
      <c r="F6" s="111">
        <v>80444.850000000006</v>
      </c>
      <c r="G6" s="111">
        <v>68688.149999999994</v>
      </c>
      <c r="H6" s="111">
        <v>68728.98</v>
      </c>
      <c r="I6" s="111">
        <v>66801.440000000002</v>
      </c>
      <c r="J6" s="111">
        <v>110316.27</v>
      </c>
      <c r="K6" s="111">
        <v>127591.29</v>
      </c>
      <c r="L6" s="111">
        <v>112877.78964</v>
      </c>
      <c r="M6" s="111">
        <v>88587.179879999996</v>
      </c>
      <c r="N6" s="114">
        <f t="shared" si="0"/>
        <v>1045565.8895200001</v>
      </c>
      <c r="O6" s="111">
        <f t="shared" si="1"/>
        <v>87130.490793333345</v>
      </c>
    </row>
    <row r="7" spans="1:49" hidden="1" outlineLevel="1" x14ac:dyDescent="0.25">
      <c r="A7" s="112" t="s">
        <v>165</v>
      </c>
      <c r="B7" s="111">
        <v>466094.86</v>
      </c>
      <c r="C7" s="111">
        <v>457068.24</v>
      </c>
      <c r="D7" s="111">
        <v>467393.6</v>
      </c>
      <c r="E7" s="111">
        <v>373120.03</v>
      </c>
      <c r="F7" s="111">
        <v>441285.47</v>
      </c>
      <c r="G7" s="111">
        <v>391174.38</v>
      </c>
      <c r="H7" s="111">
        <v>392681.79</v>
      </c>
      <c r="I7" s="111">
        <v>408173.96</v>
      </c>
      <c r="J7" s="111">
        <v>447941.31</v>
      </c>
      <c r="K7" s="111">
        <v>527443.87</v>
      </c>
      <c r="L7" s="111">
        <v>501766.32660000003</v>
      </c>
      <c r="M7" s="111">
        <v>500947.19896000007</v>
      </c>
      <c r="N7" s="114">
        <f t="shared" si="0"/>
        <v>5375091.0355599998</v>
      </c>
      <c r="O7" s="111">
        <f t="shared" si="1"/>
        <v>447924.25296333333</v>
      </c>
    </row>
    <row r="8" spans="1:49" hidden="1" outlineLevel="1" x14ac:dyDescent="0.25">
      <c r="A8" s="112" t="s">
        <v>166</v>
      </c>
      <c r="B8" s="111">
        <v>60265.760000000002</v>
      </c>
      <c r="C8" s="111">
        <v>525725.52</v>
      </c>
      <c r="D8" s="111">
        <v>55778.52</v>
      </c>
      <c r="E8" s="111">
        <v>48413.13</v>
      </c>
      <c r="F8" s="111">
        <v>106996.47</v>
      </c>
      <c r="G8" s="111">
        <v>83121.83</v>
      </c>
      <c r="H8" s="111">
        <v>70697.09</v>
      </c>
      <c r="I8" s="111">
        <v>69351.98</v>
      </c>
      <c r="J8" s="111">
        <v>74630.899999999994</v>
      </c>
      <c r="K8" s="111">
        <v>77661.820000000007</v>
      </c>
      <c r="L8" s="111">
        <v>60750.375840000008</v>
      </c>
      <c r="M8" s="111">
        <v>46650.378680000002</v>
      </c>
      <c r="N8" s="114">
        <f t="shared" si="0"/>
        <v>1280043.7745200002</v>
      </c>
      <c r="O8" s="111">
        <f t="shared" si="1"/>
        <v>106670.31454333336</v>
      </c>
    </row>
    <row r="9" spans="1:49" hidden="1" outlineLevel="1" x14ac:dyDescent="0.25">
      <c r="A9" s="112" t="s">
        <v>167</v>
      </c>
      <c r="B9" s="111">
        <v>988275.99</v>
      </c>
      <c r="C9" s="111">
        <v>1242651.29</v>
      </c>
      <c r="D9" s="111">
        <v>1151994.67</v>
      </c>
      <c r="E9" s="111">
        <v>1236245.82</v>
      </c>
      <c r="F9" s="111">
        <v>1188446.83</v>
      </c>
      <c r="G9" s="111">
        <v>1411947.32</v>
      </c>
      <c r="H9" s="111">
        <v>1185145.55</v>
      </c>
      <c r="I9" s="111">
        <v>1359497.88</v>
      </c>
      <c r="J9" s="111">
        <v>1607981.25</v>
      </c>
      <c r="K9" s="111">
        <v>1381556.76</v>
      </c>
      <c r="L9" s="111">
        <v>1220227.78416</v>
      </c>
      <c r="M9" s="111">
        <v>1497833.4219599999</v>
      </c>
      <c r="N9" s="114">
        <f t="shared" si="0"/>
        <v>15471804.566120001</v>
      </c>
      <c r="O9" s="111">
        <f t="shared" si="1"/>
        <v>1289317.0471766668</v>
      </c>
    </row>
    <row r="10" spans="1:49" hidden="1" outlineLevel="1" x14ac:dyDescent="0.25">
      <c r="A10" s="112" t="s">
        <v>168</v>
      </c>
      <c r="B10" s="111">
        <v>33615.33</v>
      </c>
      <c r="C10" s="111">
        <v>71826.289999999994</v>
      </c>
      <c r="D10" s="111">
        <v>45997.96</v>
      </c>
      <c r="E10" s="111">
        <v>57879.360000000001</v>
      </c>
      <c r="F10" s="111">
        <v>106906.51</v>
      </c>
      <c r="G10" s="111">
        <v>72240.17</v>
      </c>
      <c r="H10" s="111">
        <v>35906.04</v>
      </c>
      <c r="I10" s="111">
        <v>57437.85</v>
      </c>
      <c r="J10" s="111">
        <v>76032.66</v>
      </c>
      <c r="K10" s="111">
        <v>98213.25</v>
      </c>
      <c r="L10" s="111">
        <v>50587.872719999999</v>
      </c>
      <c r="M10" s="111">
        <v>63762.919959999999</v>
      </c>
      <c r="N10" s="114">
        <f t="shared" si="0"/>
        <v>770406.21267999988</v>
      </c>
      <c r="O10" s="111">
        <f t="shared" si="1"/>
        <v>64200.517723333323</v>
      </c>
    </row>
    <row r="11" spans="1:49" hidden="1" outlineLevel="1" x14ac:dyDescent="0.25">
      <c r="A11" s="112" t="s">
        <v>169</v>
      </c>
      <c r="B11" s="111">
        <v>954660.66</v>
      </c>
      <c r="C11" s="111">
        <v>1170825</v>
      </c>
      <c r="D11" s="111">
        <v>1105996.71</v>
      </c>
      <c r="E11" s="111">
        <v>1178366.46</v>
      </c>
      <c r="F11" s="111">
        <v>1081540.32</v>
      </c>
      <c r="G11" s="111">
        <v>1339707.1499999999</v>
      </c>
      <c r="H11" s="111">
        <v>1149239.51</v>
      </c>
      <c r="I11" s="111">
        <v>1302060.03</v>
      </c>
      <c r="J11" s="111">
        <v>1531948.59</v>
      </c>
      <c r="K11" s="111">
        <v>1239751.92</v>
      </c>
      <c r="L11" s="111">
        <v>1126626.0482400001</v>
      </c>
      <c r="M11" s="111">
        <v>1386650.17034</v>
      </c>
      <c r="N11" s="114">
        <f t="shared" si="0"/>
        <v>14567372.56858</v>
      </c>
      <c r="O11" s="111">
        <f t="shared" si="1"/>
        <v>1213947.7140483332</v>
      </c>
    </row>
    <row r="12" spans="1:49" hidden="1" outlineLevel="1" x14ac:dyDescent="0.25">
      <c r="A12" s="112" t="s">
        <v>170</v>
      </c>
      <c r="B12" s="111">
        <v>596755.17000000004</v>
      </c>
      <c r="C12" s="111">
        <v>603358.91</v>
      </c>
      <c r="D12" s="111">
        <v>1182141.3600000001</v>
      </c>
      <c r="E12" s="111">
        <v>764204.15</v>
      </c>
      <c r="F12" s="111">
        <v>648115.51</v>
      </c>
      <c r="G12" s="111">
        <v>596649.6</v>
      </c>
      <c r="H12" s="111">
        <v>579971.17000000004</v>
      </c>
      <c r="I12" s="111">
        <v>615217.57999999996</v>
      </c>
      <c r="J12" s="111">
        <v>673435.7</v>
      </c>
      <c r="K12" s="111">
        <v>762106.65</v>
      </c>
      <c r="L12" s="111">
        <v>703628.91060000006</v>
      </c>
      <c r="M12" s="111">
        <v>751130.97696000012</v>
      </c>
      <c r="N12" s="114">
        <f t="shared" si="0"/>
        <v>8476715.6875600014</v>
      </c>
      <c r="O12" s="111">
        <f t="shared" si="1"/>
        <v>706392.97396333341</v>
      </c>
    </row>
    <row r="13" spans="1:49" hidden="1" outlineLevel="1" x14ac:dyDescent="0.25">
      <c r="A13" s="112" t="s">
        <v>171</v>
      </c>
      <c r="B13" s="111">
        <v>176047.93</v>
      </c>
      <c r="C13" s="111">
        <v>326960.90999999997</v>
      </c>
      <c r="D13" s="111">
        <v>415539.85</v>
      </c>
      <c r="E13" s="111">
        <v>293844.3</v>
      </c>
      <c r="F13" s="111">
        <v>298592.57</v>
      </c>
      <c r="G13" s="111">
        <v>227674.2</v>
      </c>
      <c r="H13" s="111">
        <v>237039.06</v>
      </c>
      <c r="I13" s="111">
        <v>244820.56</v>
      </c>
      <c r="J13" s="111">
        <v>236415.72</v>
      </c>
      <c r="K13" s="111">
        <v>239514.56</v>
      </c>
      <c r="L13" s="111">
        <v>248215.88483999998</v>
      </c>
      <c r="M13" s="111">
        <v>266892.17901999998</v>
      </c>
      <c r="N13" s="114">
        <f t="shared" si="0"/>
        <v>3211557.7238600003</v>
      </c>
      <c r="O13" s="111">
        <f t="shared" si="1"/>
        <v>267629.81032166671</v>
      </c>
    </row>
    <row r="14" spans="1:49" hidden="1" outlineLevel="1" x14ac:dyDescent="0.25">
      <c r="A14" s="112" t="s">
        <v>172</v>
      </c>
      <c r="B14" s="111">
        <v>5857.48</v>
      </c>
      <c r="C14" s="111">
        <v>1454.7</v>
      </c>
      <c r="D14" s="111">
        <v>417459.87</v>
      </c>
      <c r="E14" s="111">
        <v>9794199.0500000007</v>
      </c>
      <c r="F14" s="111">
        <v>1381.81</v>
      </c>
      <c r="G14" s="111">
        <v>4409.71</v>
      </c>
      <c r="H14" s="111">
        <v>6692.37</v>
      </c>
      <c r="I14" s="111">
        <v>0</v>
      </c>
      <c r="J14" s="111">
        <v>815</v>
      </c>
      <c r="K14" s="111">
        <v>773.86</v>
      </c>
      <c r="L14" s="111">
        <v>0</v>
      </c>
      <c r="M14" s="111">
        <v>0</v>
      </c>
      <c r="N14" s="114">
        <f t="shared" si="0"/>
        <v>10233043.850000001</v>
      </c>
      <c r="O14" s="111">
        <f t="shared" si="1"/>
        <v>852753.65416666679</v>
      </c>
    </row>
    <row r="15" spans="1:49" hidden="1" outlineLevel="1" x14ac:dyDescent="0.25">
      <c r="A15" s="112" t="s">
        <v>173</v>
      </c>
      <c r="B15" s="111">
        <v>2909.65</v>
      </c>
      <c r="C15" s="111">
        <v>1454.7</v>
      </c>
      <c r="D15" s="111">
        <v>11101.85</v>
      </c>
      <c r="E15" s="111">
        <v>219583.56</v>
      </c>
      <c r="F15" s="111">
        <v>0</v>
      </c>
      <c r="G15" s="111">
        <v>1500</v>
      </c>
      <c r="H15" s="111">
        <v>1454.63</v>
      </c>
      <c r="I15" s="111">
        <v>0</v>
      </c>
      <c r="J15" s="111">
        <v>815</v>
      </c>
      <c r="K15" s="111">
        <v>773.86</v>
      </c>
      <c r="L15" s="111">
        <v>15310.51368</v>
      </c>
      <c r="M15" s="111">
        <v>378034.15269999998</v>
      </c>
      <c r="N15" s="114">
        <f t="shared" si="0"/>
        <v>632937.91637999995</v>
      </c>
      <c r="O15" s="111">
        <f t="shared" si="1"/>
        <v>52744.826364999994</v>
      </c>
    </row>
    <row r="16" spans="1:49" hidden="1" outlineLevel="1" x14ac:dyDescent="0.25">
      <c r="A16" s="112" t="s">
        <v>174</v>
      </c>
      <c r="B16" s="111">
        <v>1715661.48</v>
      </c>
      <c r="C16" s="111">
        <v>1600011.79</v>
      </c>
      <c r="D16" s="111">
        <v>1816651.19</v>
      </c>
      <c r="E16" s="111">
        <v>1419145.32</v>
      </c>
      <c r="F16" s="111">
        <v>1702209.54</v>
      </c>
      <c r="G16" s="111">
        <v>1673266.38</v>
      </c>
      <c r="H16" s="111">
        <v>1595057.28</v>
      </c>
      <c r="I16" s="111">
        <v>1764581.02</v>
      </c>
      <c r="J16" s="111">
        <v>1850125.84</v>
      </c>
      <c r="K16" s="111">
        <v>2179223.9</v>
      </c>
      <c r="L16" s="111">
        <v>1775851.9825200001</v>
      </c>
      <c r="M16" s="111">
        <v>1523262.477</v>
      </c>
      <c r="N16" s="114">
        <f t="shared" si="0"/>
        <v>20615048.199519999</v>
      </c>
      <c r="O16" s="111">
        <f t="shared" si="1"/>
        <v>1717920.6832933333</v>
      </c>
    </row>
    <row r="17" spans="1:15" hidden="1" outlineLevel="1" x14ac:dyDescent="0.25">
      <c r="A17" s="112" t="s">
        <v>175</v>
      </c>
      <c r="B17" s="111">
        <v>578727.53</v>
      </c>
      <c r="C17" s="111">
        <v>506459.87</v>
      </c>
      <c r="D17" s="111">
        <v>571816.74</v>
      </c>
      <c r="E17" s="111">
        <v>472667.69</v>
      </c>
      <c r="F17" s="111">
        <v>497915.55</v>
      </c>
      <c r="G17" s="111">
        <v>448104.58</v>
      </c>
      <c r="H17" s="111">
        <v>408465.6</v>
      </c>
      <c r="I17" s="111">
        <v>402805.98</v>
      </c>
      <c r="J17" s="111">
        <v>433462.71</v>
      </c>
      <c r="K17" s="111">
        <v>521497.22</v>
      </c>
      <c r="L17" s="111">
        <v>515479.16112</v>
      </c>
      <c r="M17" s="111">
        <v>509909.12194000004</v>
      </c>
      <c r="N17" s="114">
        <f t="shared" si="0"/>
        <v>5867311.75306</v>
      </c>
      <c r="O17" s="111">
        <f t="shared" si="1"/>
        <v>488942.64608833333</v>
      </c>
    </row>
    <row r="18" spans="1:15" hidden="1" outlineLevel="1" x14ac:dyDescent="0.25">
      <c r="A18" s="112" t="s">
        <v>176</v>
      </c>
      <c r="B18" s="111">
        <v>530282.76</v>
      </c>
      <c r="C18" s="111">
        <v>507157.64</v>
      </c>
      <c r="D18" s="111">
        <v>616570.86</v>
      </c>
      <c r="E18" s="111">
        <v>415471.72</v>
      </c>
      <c r="F18" s="111">
        <v>569935.31999999995</v>
      </c>
      <c r="G18" s="111">
        <v>662544.15</v>
      </c>
      <c r="H18" s="111">
        <v>638574.84</v>
      </c>
      <c r="I18" s="111">
        <v>830886.6</v>
      </c>
      <c r="J18" s="111">
        <v>760991.66</v>
      </c>
      <c r="K18" s="111">
        <v>837038.28</v>
      </c>
      <c r="L18" s="111">
        <v>577529.72508000012</v>
      </c>
      <c r="M18" s="111">
        <v>439426.13122000004</v>
      </c>
      <c r="N18" s="114">
        <f t="shared" si="0"/>
        <v>7386409.6863000002</v>
      </c>
      <c r="O18" s="111">
        <f t="shared" si="1"/>
        <v>615534.14052500005</v>
      </c>
    </row>
    <row r="19" spans="1:15" hidden="1" outlineLevel="1" x14ac:dyDescent="0.25">
      <c r="A19" s="112" t="s">
        <v>177</v>
      </c>
      <c r="B19" s="111">
        <v>606651.18999999994</v>
      </c>
      <c r="C19" s="111">
        <v>586394.28</v>
      </c>
      <c r="D19" s="111">
        <v>628263.59</v>
      </c>
      <c r="E19" s="111">
        <v>531005.91</v>
      </c>
      <c r="F19" s="111">
        <v>634358.67000000004</v>
      </c>
      <c r="G19" s="111">
        <v>562617.65</v>
      </c>
      <c r="H19" s="111">
        <v>548016.84</v>
      </c>
      <c r="I19" s="111">
        <v>530888.43999999994</v>
      </c>
      <c r="J19" s="111">
        <v>655671.47</v>
      </c>
      <c r="K19" s="111">
        <v>820688.4</v>
      </c>
      <c r="L19" s="111">
        <v>682843.09632000013</v>
      </c>
      <c r="M19" s="111">
        <v>573927.22383999999</v>
      </c>
      <c r="N19" s="114">
        <f t="shared" si="0"/>
        <v>7361326.760160001</v>
      </c>
      <c r="O19" s="111">
        <f t="shared" si="1"/>
        <v>613443.89668000012</v>
      </c>
    </row>
    <row r="20" spans="1:15" hidden="1" outlineLevel="1" x14ac:dyDescent="0.25">
      <c r="A20" s="112" t="s">
        <v>178</v>
      </c>
      <c r="B20" s="111">
        <v>5584729.1900000004</v>
      </c>
      <c r="C20" s="111">
        <v>5210800.82</v>
      </c>
      <c r="D20" s="111">
        <v>5557398.0599999996</v>
      </c>
      <c r="E20" s="111">
        <v>4494646.5999999996</v>
      </c>
      <c r="F20" s="111">
        <v>4898303.8600000003</v>
      </c>
      <c r="G20" s="111">
        <v>4340464.03</v>
      </c>
      <c r="H20" s="111">
        <v>4469756.59</v>
      </c>
      <c r="I20" s="111">
        <v>4554988.3</v>
      </c>
      <c r="J20" s="111">
        <v>5223972.45</v>
      </c>
      <c r="K20" s="111">
        <v>6154876.46</v>
      </c>
      <c r="L20" s="111">
        <v>5809529.2331999997</v>
      </c>
      <c r="M20" s="111">
        <v>6477641.9147800002</v>
      </c>
      <c r="N20" s="114">
        <f t="shared" si="0"/>
        <v>62777107.507980004</v>
      </c>
      <c r="O20" s="111">
        <f t="shared" si="1"/>
        <v>5231425.6256650006</v>
      </c>
    </row>
    <row r="21" spans="1:15" hidden="1" outlineLevel="1" x14ac:dyDescent="0.25">
      <c r="A21" s="112" t="s">
        <v>179</v>
      </c>
      <c r="B21" s="111">
        <v>0</v>
      </c>
      <c r="C21" s="111">
        <v>0</v>
      </c>
      <c r="D21" s="111">
        <v>435.37</v>
      </c>
      <c r="E21" s="111">
        <v>0</v>
      </c>
      <c r="F21" s="111">
        <v>176</v>
      </c>
      <c r="G21" s="111">
        <v>84.53</v>
      </c>
      <c r="H21" s="111">
        <v>0</v>
      </c>
      <c r="I21" s="111">
        <v>93.2</v>
      </c>
      <c r="J21" s="111">
        <v>88</v>
      </c>
      <c r="K21" s="111">
        <v>258.68</v>
      </c>
      <c r="L21" s="111">
        <v>466.02864000000005</v>
      </c>
      <c r="M21" s="111">
        <v>0</v>
      </c>
      <c r="N21" s="114">
        <f t="shared" si="0"/>
        <v>1601.80864</v>
      </c>
      <c r="O21" s="111">
        <f t="shared" si="1"/>
        <v>133.48405333333332</v>
      </c>
    </row>
    <row r="22" spans="1:15" hidden="1" outlineLevel="1" x14ac:dyDescent="0.25">
      <c r="A22" s="112" t="s">
        <v>180</v>
      </c>
      <c r="B22" s="111">
        <v>97966.97</v>
      </c>
      <c r="C22" s="111">
        <v>1375612.98</v>
      </c>
      <c r="D22" s="111">
        <v>1004648.45</v>
      </c>
      <c r="E22" s="111">
        <v>51731.5</v>
      </c>
      <c r="F22" s="111">
        <v>79470.53</v>
      </c>
      <c r="G22" s="111">
        <v>15650.62</v>
      </c>
      <c r="H22" s="111">
        <v>613.05999999999995</v>
      </c>
      <c r="I22" s="111">
        <v>30.43</v>
      </c>
      <c r="J22" s="111">
        <v>199.94</v>
      </c>
      <c r="K22" s="111">
        <v>96.96</v>
      </c>
      <c r="L22" s="111">
        <v>492.54743999999999</v>
      </c>
      <c r="M22" s="111">
        <v>1122.9960000000001</v>
      </c>
      <c r="N22" s="114">
        <f t="shared" si="0"/>
        <v>2627636.9834399996</v>
      </c>
      <c r="O22" s="111">
        <f t="shared" si="1"/>
        <v>218969.74861999997</v>
      </c>
    </row>
    <row r="23" spans="1:15" hidden="1" outlineLevel="1" x14ac:dyDescent="0.25">
      <c r="A23" s="112" t="s">
        <v>181</v>
      </c>
      <c r="B23" s="111">
        <v>0</v>
      </c>
      <c r="C23" s="111">
        <v>290.44</v>
      </c>
      <c r="D23" s="111">
        <v>1213.8499999999999</v>
      </c>
      <c r="E23" s="111">
        <v>209311.86</v>
      </c>
      <c r="F23" s="111">
        <v>333348.87</v>
      </c>
      <c r="G23" s="111">
        <v>277922.24</v>
      </c>
      <c r="H23" s="111">
        <v>297210.07</v>
      </c>
      <c r="I23" s="111">
        <v>186968.79</v>
      </c>
      <c r="J23" s="111">
        <v>45133.93</v>
      </c>
      <c r="K23" s="111">
        <v>56541.54</v>
      </c>
      <c r="L23" s="111">
        <v>25174.04736</v>
      </c>
      <c r="M23" s="111">
        <v>199.09668000000002</v>
      </c>
      <c r="N23" s="114">
        <f t="shared" si="0"/>
        <v>1433314.73404</v>
      </c>
      <c r="O23" s="111">
        <f t="shared" si="1"/>
        <v>119442.89450333333</v>
      </c>
    </row>
    <row r="24" spans="1:15" hidden="1" outlineLevel="1" x14ac:dyDescent="0.25">
      <c r="A24" s="112" t="s">
        <v>182</v>
      </c>
      <c r="B24" s="111">
        <v>11154192.68</v>
      </c>
      <c r="C24" s="111">
        <v>10305341.83</v>
      </c>
      <c r="D24" s="111">
        <v>11551998.33</v>
      </c>
      <c r="E24" s="111">
        <v>8385692.9400000004</v>
      </c>
      <c r="F24" s="111">
        <v>9836543.4399999995</v>
      </c>
      <c r="G24" s="111">
        <v>9611324.9900000002</v>
      </c>
      <c r="H24" s="111">
        <v>9548791.8300000001</v>
      </c>
      <c r="I24" s="111">
        <v>9868982.4800000004</v>
      </c>
      <c r="J24" s="111">
        <v>11274120.529999999</v>
      </c>
      <c r="K24" s="111">
        <v>12352265.02</v>
      </c>
      <c r="L24" s="111">
        <v>11380193.711040001</v>
      </c>
      <c r="M24" s="111">
        <v>14482793.969780002</v>
      </c>
      <c r="N24" s="114">
        <f t="shared" si="0"/>
        <v>129752241.75082</v>
      </c>
      <c r="O24" s="111">
        <f t="shared" si="1"/>
        <v>10812686.812568333</v>
      </c>
    </row>
    <row r="25" spans="1:15" hidden="1" outlineLevel="1" x14ac:dyDescent="0.25">
      <c r="A25" s="112" t="s">
        <v>183</v>
      </c>
      <c r="B25" s="111">
        <v>969118.13</v>
      </c>
      <c r="C25" s="111">
        <v>1013950.94</v>
      </c>
      <c r="D25" s="111">
        <v>1425872.61</v>
      </c>
      <c r="E25" s="111">
        <v>1222141.3</v>
      </c>
      <c r="F25" s="111">
        <v>1259238.3899999999</v>
      </c>
      <c r="G25" s="111">
        <v>1177996.06</v>
      </c>
      <c r="H25" s="111">
        <v>1340597.2</v>
      </c>
      <c r="I25" s="111">
        <v>1348982.94</v>
      </c>
      <c r="J25" s="111">
        <v>1458121.38</v>
      </c>
      <c r="K25" s="111">
        <v>1453271.14</v>
      </c>
      <c r="L25" s="111">
        <v>1375492.3736400001</v>
      </c>
      <c r="M25" s="111">
        <v>1294795.7728200001</v>
      </c>
      <c r="N25" s="114">
        <f t="shared" si="0"/>
        <v>15339578.23646</v>
      </c>
      <c r="O25" s="111">
        <f t="shared" si="1"/>
        <v>1278298.1863716666</v>
      </c>
    </row>
    <row r="26" spans="1:15" hidden="1" outlineLevel="1" x14ac:dyDescent="0.25">
      <c r="A26" s="112" t="s">
        <v>184</v>
      </c>
      <c r="B26" s="111">
        <v>259279.92</v>
      </c>
      <c r="C26" s="111">
        <v>5002.7299999999996</v>
      </c>
      <c r="D26" s="111">
        <v>3212.11</v>
      </c>
      <c r="E26" s="111">
        <v>96.94</v>
      </c>
      <c r="F26" s="111">
        <v>39.93</v>
      </c>
      <c r="G26" s="111">
        <v>316.47000000000003</v>
      </c>
      <c r="H26" s="111">
        <v>155.13999999999999</v>
      </c>
      <c r="I26" s="111">
        <v>671.07</v>
      </c>
      <c r="J26" s="111">
        <v>1038.6600000000001</v>
      </c>
      <c r="K26" s="111">
        <v>1523.27</v>
      </c>
      <c r="L26" s="111">
        <v>235153.52784000002</v>
      </c>
      <c r="M26" s="111">
        <v>3454203.2875800002</v>
      </c>
      <c r="N26" s="114">
        <f t="shared" si="0"/>
        <v>3960693.0554200001</v>
      </c>
      <c r="O26" s="111">
        <f t="shared" si="1"/>
        <v>330057.75461833336</v>
      </c>
    </row>
    <row r="27" spans="1:15" hidden="1" outlineLevel="1" x14ac:dyDescent="0.25">
      <c r="A27" s="112" t="s">
        <v>185</v>
      </c>
      <c r="B27" s="111">
        <v>189018.99</v>
      </c>
      <c r="C27" s="111">
        <v>4602.78</v>
      </c>
      <c r="D27" s="111">
        <v>2692.61</v>
      </c>
      <c r="E27" s="111">
        <v>96.94</v>
      </c>
      <c r="F27" s="111">
        <v>39.93</v>
      </c>
      <c r="G27" s="111">
        <v>316.47000000000003</v>
      </c>
      <c r="H27" s="111">
        <v>155.13999999999999</v>
      </c>
      <c r="I27" s="111">
        <v>671.07</v>
      </c>
      <c r="J27" s="111">
        <v>1038.6600000000001</v>
      </c>
      <c r="K27" s="111">
        <v>1523.27</v>
      </c>
      <c r="L27" s="111">
        <v>139524.48972000001</v>
      </c>
      <c r="M27" s="111">
        <v>2429699.12622</v>
      </c>
      <c r="N27" s="114">
        <f t="shared" si="0"/>
        <v>2769379.4759399998</v>
      </c>
      <c r="O27" s="111">
        <f t="shared" si="1"/>
        <v>230781.62299499998</v>
      </c>
    </row>
    <row r="28" spans="1:15" hidden="1" outlineLevel="1" x14ac:dyDescent="0.25">
      <c r="A28" s="112" t="s">
        <v>186</v>
      </c>
      <c r="B28" s="111">
        <v>42.62</v>
      </c>
      <c r="C28" s="111">
        <v>0</v>
      </c>
      <c r="D28" s="111">
        <v>244.67</v>
      </c>
      <c r="E28" s="111">
        <v>0</v>
      </c>
      <c r="F28" s="111">
        <v>0</v>
      </c>
      <c r="G28" s="111">
        <v>0</v>
      </c>
      <c r="H28" s="111">
        <v>0</v>
      </c>
      <c r="I28" s="111">
        <v>13464.12</v>
      </c>
      <c r="J28" s="111">
        <v>34826.44</v>
      </c>
      <c r="K28" s="111">
        <v>37245.15</v>
      </c>
      <c r="L28" s="111">
        <v>15669.201239999999</v>
      </c>
      <c r="M28" s="111">
        <v>12445.497140000001</v>
      </c>
      <c r="N28" s="114">
        <f t="shared" si="0"/>
        <v>113937.69838</v>
      </c>
      <c r="O28" s="111">
        <f t="shared" si="1"/>
        <v>9494.8081983333341</v>
      </c>
    </row>
    <row r="29" spans="1:15" hidden="1" outlineLevel="1" x14ac:dyDescent="0.25">
      <c r="A29" s="113" t="s">
        <v>187</v>
      </c>
      <c r="B29" s="111">
        <v>16277935.609999999</v>
      </c>
      <c r="C29" s="111">
        <v>16572186.76</v>
      </c>
      <c r="D29" s="111">
        <v>19800335.039999999</v>
      </c>
      <c r="E29" s="111">
        <v>19197779.309999999</v>
      </c>
      <c r="F29" s="111">
        <v>18392945.359999999</v>
      </c>
      <c r="G29" s="111">
        <v>16854438.199999999</v>
      </c>
      <c r="H29" s="111">
        <v>17030390.850000001</v>
      </c>
      <c r="I29" s="111">
        <v>18244726.510000002</v>
      </c>
      <c r="J29" s="111">
        <v>19508850.43</v>
      </c>
      <c r="K29" s="111">
        <v>20990328.420000002</v>
      </c>
      <c r="L29" s="111">
        <v>19068320.058480002</v>
      </c>
      <c r="M29" s="111">
        <v>21316731.711339999</v>
      </c>
      <c r="N29" s="114">
        <f t="shared" si="0"/>
        <v>223254968.25982001</v>
      </c>
      <c r="O29" s="111">
        <f t="shared" si="1"/>
        <v>18604580.688318335</v>
      </c>
    </row>
    <row r="30" spans="1:15" hidden="1" outlineLevel="1" x14ac:dyDescent="0.25">
      <c r="A30" s="112" t="s">
        <v>188</v>
      </c>
      <c r="B30" s="111">
        <v>2659178.16</v>
      </c>
      <c r="C30" s="111">
        <v>3170528.16</v>
      </c>
      <c r="D30" s="111">
        <v>2792145.55</v>
      </c>
      <c r="E30" s="111">
        <v>2615098.48</v>
      </c>
      <c r="F30" s="111">
        <v>2695261.95</v>
      </c>
      <c r="G30" s="111">
        <v>2560646.7999999998</v>
      </c>
      <c r="H30" s="111">
        <v>2325389.27</v>
      </c>
      <c r="I30" s="111">
        <v>2465719.79</v>
      </c>
      <c r="J30" s="111">
        <v>2935975.6</v>
      </c>
      <c r="K30" s="111">
        <v>3251115.72</v>
      </c>
      <c r="L30" s="111">
        <v>3205448.8620000002</v>
      </c>
      <c r="M30" s="111">
        <v>3653834.3034600005</v>
      </c>
      <c r="N30" s="114">
        <f t="shared" si="0"/>
        <v>34330342.645460002</v>
      </c>
      <c r="O30" s="111">
        <f t="shared" si="1"/>
        <v>2860861.8871216667</v>
      </c>
    </row>
    <row r="31" spans="1:15" hidden="1" outlineLevel="1" x14ac:dyDescent="0.25">
      <c r="A31" s="112" t="s">
        <v>189</v>
      </c>
      <c r="B31" s="111">
        <v>1308021.97</v>
      </c>
      <c r="C31" s="111">
        <v>1191845.3999999999</v>
      </c>
      <c r="D31" s="111">
        <v>1242244.74</v>
      </c>
      <c r="E31" s="111">
        <v>1232127.8400000001</v>
      </c>
      <c r="F31" s="111">
        <v>1165917.03</v>
      </c>
      <c r="G31" s="111">
        <v>1056334.04</v>
      </c>
      <c r="H31" s="111">
        <v>1052382.83</v>
      </c>
      <c r="I31" s="111">
        <v>1078329.21</v>
      </c>
      <c r="J31" s="111">
        <v>1269845.48</v>
      </c>
      <c r="K31" s="111">
        <v>1353754.43</v>
      </c>
      <c r="L31" s="111">
        <v>1260842.7216</v>
      </c>
      <c r="M31" s="111">
        <v>1405266.8716400003</v>
      </c>
      <c r="N31" s="114">
        <f t="shared" si="0"/>
        <v>14616912.563240001</v>
      </c>
      <c r="O31" s="111">
        <f t="shared" si="1"/>
        <v>1218076.0469366668</v>
      </c>
    </row>
    <row r="32" spans="1:15" hidden="1" outlineLevel="1" x14ac:dyDescent="0.25">
      <c r="A32" s="112" t="s">
        <v>190</v>
      </c>
      <c r="B32" s="111">
        <v>277460.21000000002</v>
      </c>
      <c r="C32" s="111">
        <v>266603.18</v>
      </c>
      <c r="D32" s="111">
        <v>236199.53</v>
      </c>
      <c r="E32" s="111">
        <v>154575.23000000001</v>
      </c>
      <c r="F32" s="111">
        <v>116151.13</v>
      </c>
      <c r="G32" s="111">
        <v>95000.97</v>
      </c>
      <c r="H32" s="111">
        <v>95744.68</v>
      </c>
      <c r="I32" s="111">
        <v>122043.2</v>
      </c>
      <c r="J32" s="111">
        <v>114909.45</v>
      </c>
      <c r="K32" s="111">
        <v>110330.44</v>
      </c>
      <c r="L32" s="111">
        <v>144855.59088</v>
      </c>
      <c r="M32" s="111">
        <v>193291.6758</v>
      </c>
      <c r="N32" s="114">
        <f t="shared" si="0"/>
        <v>1927165.2866799999</v>
      </c>
      <c r="O32" s="111">
        <f t="shared" si="1"/>
        <v>160597.10722333333</v>
      </c>
    </row>
    <row r="33" spans="1:15" hidden="1" outlineLevel="1" x14ac:dyDescent="0.25">
      <c r="A33" s="112" t="s">
        <v>191</v>
      </c>
      <c r="B33" s="111">
        <v>99433.67</v>
      </c>
      <c r="C33" s="111">
        <v>123407.41</v>
      </c>
      <c r="D33" s="111">
        <v>92965.06</v>
      </c>
      <c r="E33" s="111">
        <v>49006.14</v>
      </c>
      <c r="F33" s="111">
        <v>30369.21</v>
      </c>
      <c r="G33" s="111">
        <v>21001.17</v>
      </c>
      <c r="H33" s="111">
        <v>22335.1</v>
      </c>
      <c r="I33" s="111">
        <v>23855.72</v>
      </c>
      <c r="J33" s="111">
        <v>34108.550000000003</v>
      </c>
      <c r="K33" s="111">
        <v>43616.77</v>
      </c>
      <c r="L33" s="111">
        <v>48007.806000000004</v>
      </c>
      <c r="M33" s="111">
        <v>72943.854820000008</v>
      </c>
      <c r="N33" s="114">
        <f t="shared" si="0"/>
        <v>661050.46081999992</v>
      </c>
      <c r="O33" s="111">
        <f t="shared" si="1"/>
        <v>55087.538401666658</v>
      </c>
    </row>
    <row r="34" spans="1:15" hidden="1" outlineLevel="1" x14ac:dyDescent="0.25">
      <c r="A34" s="112" t="s">
        <v>192</v>
      </c>
      <c r="B34" s="111">
        <v>164745.51999999999</v>
      </c>
      <c r="C34" s="111">
        <v>123471.15</v>
      </c>
      <c r="D34" s="111">
        <v>126054.77</v>
      </c>
      <c r="E34" s="111">
        <v>94869.07</v>
      </c>
      <c r="F34" s="111">
        <v>78132.05</v>
      </c>
      <c r="G34" s="111">
        <v>69931.05</v>
      </c>
      <c r="H34" s="111">
        <v>71615.98</v>
      </c>
      <c r="I34" s="111">
        <v>92983.72</v>
      </c>
      <c r="J34" s="111">
        <v>76640.08</v>
      </c>
      <c r="K34" s="111">
        <v>61686.63</v>
      </c>
      <c r="L34" s="111">
        <v>88186.781760000013</v>
      </c>
      <c r="M34" s="111">
        <v>103658.99402000001</v>
      </c>
      <c r="N34" s="114">
        <f t="shared" si="0"/>
        <v>1151975.79578</v>
      </c>
      <c r="O34" s="111">
        <f t="shared" si="1"/>
        <v>95997.982981666675</v>
      </c>
    </row>
    <row r="35" spans="1:15" hidden="1" outlineLevel="1" x14ac:dyDescent="0.25">
      <c r="A35" s="112" t="s">
        <v>193</v>
      </c>
      <c r="B35" s="111">
        <v>13281.02</v>
      </c>
      <c r="C35" s="111">
        <v>19724.62</v>
      </c>
      <c r="D35" s="111">
        <v>16905.07</v>
      </c>
      <c r="E35" s="111">
        <v>10700.02</v>
      </c>
      <c r="F35" s="111">
        <v>7649.87</v>
      </c>
      <c r="G35" s="111">
        <v>4068.75</v>
      </c>
      <c r="H35" s="111">
        <v>1793.6</v>
      </c>
      <c r="I35" s="111">
        <v>5203.76</v>
      </c>
      <c r="J35" s="111">
        <v>4160.82</v>
      </c>
      <c r="K35" s="111">
        <v>5027.04</v>
      </c>
      <c r="L35" s="111">
        <v>8661.0031199999994</v>
      </c>
      <c r="M35" s="111">
        <v>16688.826960000002</v>
      </c>
      <c r="N35" s="114">
        <f t="shared" ref="N35:N72" si="2">SUM(B35:M35)</f>
        <v>113864.40007999999</v>
      </c>
      <c r="O35" s="111">
        <f t="shared" si="1"/>
        <v>9488.700006666666</v>
      </c>
    </row>
    <row r="36" spans="1:15" hidden="1" outlineLevel="1" x14ac:dyDescent="0.25">
      <c r="A36" s="112" t="s">
        <v>194</v>
      </c>
      <c r="B36" s="111">
        <v>91049.66</v>
      </c>
      <c r="C36" s="111">
        <v>101454.62</v>
      </c>
      <c r="D36" s="111">
        <v>71946.509999999995</v>
      </c>
      <c r="E36" s="111">
        <v>103321.97</v>
      </c>
      <c r="F36" s="111">
        <v>72454.95</v>
      </c>
      <c r="G36" s="111">
        <v>52341.95</v>
      </c>
      <c r="H36" s="111">
        <v>49437.66</v>
      </c>
      <c r="I36" s="111">
        <v>32597.47</v>
      </c>
      <c r="J36" s="111">
        <v>58031.02</v>
      </c>
      <c r="K36" s="111">
        <v>45247.67</v>
      </c>
      <c r="L36" s="111">
        <v>61781.92944</v>
      </c>
      <c r="M36" s="111">
        <v>521612.12325999996</v>
      </c>
      <c r="N36" s="114">
        <f t="shared" si="2"/>
        <v>1261277.5327000001</v>
      </c>
      <c r="O36" s="111">
        <f t="shared" si="1"/>
        <v>105106.46105833334</v>
      </c>
    </row>
    <row r="37" spans="1:15" hidden="1" outlineLevel="1" x14ac:dyDescent="0.25">
      <c r="A37" s="112" t="s">
        <v>195</v>
      </c>
      <c r="B37" s="111">
        <v>52170.78</v>
      </c>
      <c r="C37" s="111">
        <v>45170.58</v>
      </c>
      <c r="D37" s="111">
        <v>29449.25</v>
      </c>
      <c r="E37" s="111">
        <v>46812.38</v>
      </c>
      <c r="F37" s="111">
        <v>31586.43</v>
      </c>
      <c r="G37" s="111">
        <v>12290.64</v>
      </c>
      <c r="H37" s="111">
        <v>15226.74</v>
      </c>
      <c r="I37" s="111">
        <v>6077.55</v>
      </c>
      <c r="J37" s="111">
        <v>10725.93</v>
      </c>
      <c r="K37" s="111">
        <v>20427.349999999999</v>
      </c>
      <c r="L37" s="111">
        <v>20984.788440000004</v>
      </c>
      <c r="M37" s="111">
        <v>454531.58914</v>
      </c>
      <c r="N37" s="114">
        <f t="shared" si="2"/>
        <v>745454.00757999998</v>
      </c>
      <c r="O37" s="111">
        <f t="shared" si="1"/>
        <v>62121.167298333334</v>
      </c>
    </row>
    <row r="38" spans="1:15" hidden="1" outlineLevel="1" x14ac:dyDescent="0.25">
      <c r="A38" s="112" t="s">
        <v>196</v>
      </c>
      <c r="B38" s="111">
        <v>5972.33</v>
      </c>
      <c r="C38" s="111">
        <v>5439.73</v>
      </c>
      <c r="D38" s="111">
        <v>3260.65</v>
      </c>
      <c r="E38" s="111">
        <v>5294.34</v>
      </c>
      <c r="F38" s="111">
        <v>392.28</v>
      </c>
      <c r="G38" s="111">
        <v>2420.3200000000002</v>
      </c>
      <c r="H38" s="111">
        <v>1484.8</v>
      </c>
      <c r="I38" s="111">
        <v>930.33</v>
      </c>
      <c r="J38" s="111">
        <v>2701.19</v>
      </c>
      <c r="K38" s="111">
        <v>5213.03</v>
      </c>
      <c r="L38" s="111">
        <v>1668.4483200000002</v>
      </c>
      <c r="M38" s="111">
        <v>5023.5354400000006</v>
      </c>
      <c r="N38" s="114">
        <f t="shared" si="2"/>
        <v>39800.983760000003</v>
      </c>
      <c r="O38" s="111">
        <f t="shared" si="1"/>
        <v>3316.7486466666669</v>
      </c>
    </row>
    <row r="39" spans="1:15" hidden="1" outlineLevel="1" x14ac:dyDescent="0.25">
      <c r="A39" s="112" t="s">
        <v>197</v>
      </c>
      <c r="B39" s="111">
        <v>32906.550000000003</v>
      </c>
      <c r="C39" s="111">
        <v>50844.31</v>
      </c>
      <c r="D39" s="111">
        <v>39236.61</v>
      </c>
      <c r="E39" s="111">
        <v>51215.25</v>
      </c>
      <c r="F39" s="111">
        <v>40476.239999999998</v>
      </c>
      <c r="G39" s="111">
        <v>37630.99</v>
      </c>
      <c r="H39" s="111">
        <v>32726.12</v>
      </c>
      <c r="I39" s="111">
        <v>25589.59</v>
      </c>
      <c r="J39" s="111">
        <v>44603.9</v>
      </c>
      <c r="K39" s="111">
        <v>19607.29</v>
      </c>
      <c r="L39" s="111">
        <v>39128.69268</v>
      </c>
      <c r="M39" s="111">
        <v>62056.998680000004</v>
      </c>
      <c r="N39" s="114">
        <f t="shared" si="2"/>
        <v>476022.54136000003</v>
      </c>
      <c r="O39" s="111">
        <f t="shared" si="1"/>
        <v>39668.545113333334</v>
      </c>
    </row>
    <row r="40" spans="1:15" hidden="1" outlineLevel="1" x14ac:dyDescent="0.25">
      <c r="A40" s="112" t="s">
        <v>198</v>
      </c>
      <c r="B40" s="111">
        <v>96646.03</v>
      </c>
      <c r="C40" s="111">
        <v>72622.039999999994</v>
      </c>
      <c r="D40" s="111">
        <v>80916.509999999995</v>
      </c>
      <c r="E40" s="111">
        <v>74939.27</v>
      </c>
      <c r="F40" s="111">
        <v>81510.080000000002</v>
      </c>
      <c r="G40" s="111">
        <v>71595.69</v>
      </c>
      <c r="H40" s="111">
        <v>82762.97</v>
      </c>
      <c r="I40" s="111">
        <v>66538.66</v>
      </c>
      <c r="J40" s="111">
        <v>37076.94</v>
      </c>
      <c r="K40" s="111">
        <v>22427.87</v>
      </c>
      <c r="L40" s="111">
        <v>46543.968240000002</v>
      </c>
      <c r="M40" s="111">
        <v>75445.517420000004</v>
      </c>
      <c r="N40" s="114">
        <f t="shared" si="2"/>
        <v>809025.54566000018</v>
      </c>
      <c r="O40" s="111">
        <f t="shared" si="1"/>
        <v>67418.795471666686</v>
      </c>
    </row>
    <row r="41" spans="1:15" hidden="1" outlineLevel="1" x14ac:dyDescent="0.25">
      <c r="A41" s="112" t="s">
        <v>199</v>
      </c>
      <c r="B41" s="111">
        <v>3239516.36</v>
      </c>
      <c r="C41" s="111">
        <v>3147432.84</v>
      </c>
      <c r="D41" s="111">
        <v>3924138.79</v>
      </c>
      <c r="E41" s="111">
        <v>3802157.9</v>
      </c>
      <c r="F41" s="111">
        <v>3836524.3</v>
      </c>
      <c r="G41" s="111">
        <v>3529170.77</v>
      </c>
      <c r="H41" s="111">
        <v>3647126.98</v>
      </c>
      <c r="I41" s="111">
        <v>3924678.74</v>
      </c>
      <c r="J41" s="111">
        <v>4038458.32</v>
      </c>
      <c r="K41" s="111">
        <v>4587696.63</v>
      </c>
      <c r="L41" s="111">
        <v>3904955.0232000002</v>
      </c>
      <c r="M41" s="111">
        <v>3935764.3670200002</v>
      </c>
      <c r="N41" s="114">
        <f t="shared" si="2"/>
        <v>45517621.020220004</v>
      </c>
      <c r="O41" s="111">
        <f t="shared" si="1"/>
        <v>3793135.0850183335</v>
      </c>
    </row>
    <row r="42" spans="1:15" hidden="1" outlineLevel="1" x14ac:dyDescent="0.25">
      <c r="A42" s="112" t="s">
        <v>200</v>
      </c>
      <c r="B42" s="111">
        <v>649890.48</v>
      </c>
      <c r="C42" s="111">
        <v>660202.35</v>
      </c>
      <c r="D42" s="111">
        <v>1010765.8</v>
      </c>
      <c r="E42" s="111">
        <v>1120080.29</v>
      </c>
      <c r="F42" s="111">
        <v>1193336.33</v>
      </c>
      <c r="G42" s="111">
        <v>1149415.2</v>
      </c>
      <c r="H42" s="111">
        <v>1294881.56</v>
      </c>
      <c r="I42" s="111">
        <v>1422956.58</v>
      </c>
      <c r="J42" s="111">
        <v>1430381.38</v>
      </c>
      <c r="K42" s="111">
        <v>1112331.72</v>
      </c>
      <c r="L42" s="111">
        <v>870604.81200000003</v>
      </c>
      <c r="M42" s="111">
        <v>966362.59242</v>
      </c>
      <c r="N42" s="114">
        <f t="shared" si="2"/>
        <v>12881209.094420001</v>
      </c>
      <c r="O42" s="111">
        <f t="shared" si="1"/>
        <v>1073434.0912016667</v>
      </c>
    </row>
    <row r="43" spans="1:15" hidden="1" outlineLevel="1" x14ac:dyDescent="0.25">
      <c r="A43" s="112" t="s">
        <v>201</v>
      </c>
      <c r="B43" s="111">
        <v>1070333.96</v>
      </c>
      <c r="C43" s="111">
        <v>1125921.1100000001</v>
      </c>
      <c r="D43" s="111">
        <v>2265189.34</v>
      </c>
      <c r="E43" s="111">
        <v>1983967.38</v>
      </c>
      <c r="F43" s="111">
        <v>1598833.7</v>
      </c>
      <c r="G43" s="111">
        <v>1214495.8600000001</v>
      </c>
      <c r="H43" s="111">
        <v>1571273.17</v>
      </c>
      <c r="I43" s="111">
        <v>1627179.81</v>
      </c>
      <c r="J43" s="111">
        <v>1526097.7</v>
      </c>
      <c r="K43" s="111">
        <v>1273779.18</v>
      </c>
      <c r="L43" s="111">
        <v>1111258.51452</v>
      </c>
      <c r="M43" s="111">
        <v>1244263.2486</v>
      </c>
      <c r="N43" s="114">
        <f t="shared" si="2"/>
        <v>17612592.97312</v>
      </c>
      <c r="O43" s="111">
        <f t="shared" si="1"/>
        <v>1467716.0810933334</v>
      </c>
    </row>
    <row r="44" spans="1:15" hidden="1" outlineLevel="1" x14ac:dyDescent="0.25">
      <c r="A44" s="112" t="s">
        <v>202</v>
      </c>
      <c r="B44" s="111">
        <v>442525.69</v>
      </c>
      <c r="C44" s="111">
        <v>431313.82</v>
      </c>
      <c r="D44" s="111">
        <v>579608.25</v>
      </c>
      <c r="E44" s="111">
        <v>647244.88</v>
      </c>
      <c r="F44" s="111">
        <v>622397.64</v>
      </c>
      <c r="G44" s="111">
        <v>623193.63</v>
      </c>
      <c r="H44" s="111">
        <v>674115.24</v>
      </c>
      <c r="I44" s="111">
        <v>669753.12</v>
      </c>
      <c r="J44" s="111">
        <v>582993.51</v>
      </c>
      <c r="K44" s="111">
        <v>666751.52</v>
      </c>
      <c r="L44" s="111">
        <v>568033.58303999994</v>
      </c>
      <c r="M44" s="111">
        <v>588620.27116</v>
      </c>
      <c r="N44" s="114">
        <f t="shared" si="2"/>
        <v>7096551.1542000007</v>
      </c>
      <c r="O44" s="111">
        <f t="shared" si="1"/>
        <v>591379.26285000006</v>
      </c>
    </row>
    <row r="45" spans="1:15" hidden="1" outlineLevel="1" x14ac:dyDescent="0.25">
      <c r="A45" s="112" t="s">
        <v>203</v>
      </c>
      <c r="B45" s="111">
        <v>750936.68</v>
      </c>
      <c r="C45" s="111">
        <v>846854.59</v>
      </c>
      <c r="D45" s="111">
        <v>1184280.54</v>
      </c>
      <c r="E45" s="111">
        <v>961513.96</v>
      </c>
      <c r="F45" s="111">
        <v>818131.61</v>
      </c>
      <c r="G45" s="111">
        <v>798947.94</v>
      </c>
      <c r="H45" s="111">
        <v>717030.67</v>
      </c>
      <c r="I45" s="111">
        <v>902323.33</v>
      </c>
      <c r="J45" s="111">
        <v>1002248.67</v>
      </c>
      <c r="K45" s="111">
        <v>1048540.73</v>
      </c>
      <c r="L45" s="111">
        <v>959437.50672000006</v>
      </c>
      <c r="M45" s="111">
        <v>1020993.1761400001</v>
      </c>
      <c r="N45" s="114">
        <f t="shared" si="2"/>
        <v>11011239.402860001</v>
      </c>
      <c r="O45" s="111">
        <f t="shared" si="1"/>
        <v>917603.28357166669</v>
      </c>
    </row>
    <row r="46" spans="1:15" hidden="1" outlineLevel="1" x14ac:dyDescent="0.25">
      <c r="A46" s="112" t="s">
        <v>204</v>
      </c>
      <c r="B46" s="111">
        <v>4167328.88</v>
      </c>
      <c r="C46" s="111">
        <v>4086757.12</v>
      </c>
      <c r="D46" s="111">
        <v>4829521.5199999996</v>
      </c>
      <c r="E46" s="111">
        <v>4543215.45</v>
      </c>
      <c r="F46" s="111">
        <v>4242157.7300000004</v>
      </c>
      <c r="G46" s="111">
        <v>3950609.13</v>
      </c>
      <c r="H46" s="111">
        <v>3810852.56</v>
      </c>
      <c r="I46" s="111">
        <v>4175979.48</v>
      </c>
      <c r="J46" s="111">
        <v>4740901.53</v>
      </c>
      <c r="K46" s="111">
        <v>5403415.3600000003</v>
      </c>
      <c r="L46" s="111">
        <v>5159047.4258400006</v>
      </c>
      <c r="M46" s="111">
        <v>6022111.3755200002</v>
      </c>
      <c r="N46" s="114">
        <f t="shared" si="2"/>
        <v>55131897.561359994</v>
      </c>
      <c r="O46" s="111">
        <f t="shared" si="1"/>
        <v>4594324.7967799995</v>
      </c>
    </row>
    <row r="47" spans="1:15" hidden="1" outlineLevel="1" x14ac:dyDescent="0.25">
      <c r="A47" s="112" t="s">
        <v>205</v>
      </c>
      <c r="B47" s="111">
        <v>107984.42</v>
      </c>
      <c r="C47" s="111">
        <v>35624.74</v>
      </c>
      <c r="D47" s="111">
        <v>20913.87</v>
      </c>
      <c r="E47" s="111">
        <v>43988.61</v>
      </c>
      <c r="F47" s="111">
        <v>76609.5</v>
      </c>
      <c r="G47" s="111">
        <v>73087.94</v>
      </c>
      <c r="H47" s="111">
        <v>79583.64</v>
      </c>
      <c r="I47" s="111">
        <v>111238.28</v>
      </c>
      <c r="J47" s="111">
        <v>125010.51</v>
      </c>
      <c r="K47" s="111">
        <v>43737.51</v>
      </c>
      <c r="L47" s="111">
        <v>0</v>
      </c>
      <c r="M47" s="111">
        <v>26971.892960000001</v>
      </c>
      <c r="N47" s="114">
        <f t="shared" si="2"/>
        <v>744750.91295999999</v>
      </c>
      <c r="O47" s="111">
        <f t="shared" si="1"/>
        <v>62062.576079999999</v>
      </c>
    </row>
    <row r="48" spans="1:15" hidden="1" outlineLevel="1" x14ac:dyDescent="0.25">
      <c r="A48" s="112" t="s">
        <v>206</v>
      </c>
      <c r="B48" s="111">
        <v>2403840.92</v>
      </c>
      <c r="C48" s="111">
        <v>2500310.35</v>
      </c>
      <c r="D48" s="111">
        <v>2595538.84</v>
      </c>
      <c r="E48" s="111">
        <v>2459904.7400000002</v>
      </c>
      <c r="F48" s="111">
        <v>2361511.84</v>
      </c>
      <c r="G48" s="111">
        <v>2290840.4500000002</v>
      </c>
      <c r="H48" s="111">
        <v>2203131.77</v>
      </c>
      <c r="I48" s="111">
        <v>2354607.35</v>
      </c>
      <c r="J48" s="111">
        <v>2600671.27</v>
      </c>
      <c r="K48" s="111">
        <v>3002168.31</v>
      </c>
      <c r="L48" s="111">
        <v>2849158.0194000001</v>
      </c>
      <c r="M48" s="111">
        <v>3214427.6725400002</v>
      </c>
      <c r="N48" s="114">
        <f t="shared" si="2"/>
        <v>30836111.531940002</v>
      </c>
      <c r="O48" s="111">
        <f t="shared" si="1"/>
        <v>2569675.9609950003</v>
      </c>
    </row>
    <row r="49" spans="1:15" hidden="1" outlineLevel="1" x14ac:dyDescent="0.25">
      <c r="A49" s="112" t="s">
        <v>207</v>
      </c>
      <c r="B49" s="111">
        <v>968727.2</v>
      </c>
      <c r="C49" s="111">
        <v>881581.37</v>
      </c>
      <c r="D49" s="111">
        <v>1392395.89</v>
      </c>
      <c r="E49" s="111">
        <v>1346536.27</v>
      </c>
      <c r="F49" s="111">
        <v>1180171.7</v>
      </c>
      <c r="G49" s="111">
        <v>1030161.36</v>
      </c>
      <c r="H49" s="111">
        <v>970399.94</v>
      </c>
      <c r="I49" s="111">
        <v>1080906.29</v>
      </c>
      <c r="J49" s="111">
        <v>1174758.55</v>
      </c>
      <c r="K49" s="111">
        <v>1400957.76</v>
      </c>
      <c r="L49" s="111">
        <v>1392350.6797200001</v>
      </c>
      <c r="M49" s="111">
        <v>1543309.1173200002</v>
      </c>
      <c r="N49" s="114">
        <f t="shared" si="2"/>
        <v>14362256.127039999</v>
      </c>
      <c r="O49" s="111">
        <f t="shared" si="1"/>
        <v>1196854.6772533332</v>
      </c>
    </row>
    <row r="50" spans="1:15" hidden="1" outlineLevel="1" x14ac:dyDescent="0.25">
      <c r="A50" s="112" t="s">
        <v>208</v>
      </c>
      <c r="B50" s="111">
        <v>686776.34</v>
      </c>
      <c r="C50" s="111">
        <v>669240.66</v>
      </c>
      <c r="D50" s="111">
        <v>820672.92</v>
      </c>
      <c r="E50" s="111">
        <v>692785.83</v>
      </c>
      <c r="F50" s="111">
        <v>623864.68999999994</v>
      </c>
      <c r="G50" s="111">
        <v>556519.38</v>
      </c>
      <c r="H50" s="111">
        <v>557737.21</v>
      </c>
      <c r="I50" s="111">
        <v>629227.56000000006</v>
      </c>
      <c r="J50" s="111">
        <v>840461.2</v>
      </c>
      <c r="K50" s="111">
        <v>956551.78</v>
      </c>
      <c r="L50" s="111">
        <v>917538.72672000004</v>
      </c>
      <c r="M50" s="111">
        <v>1237402.6927000002</v>
      </c>
      <c r="N50" s="114">
        <f t="shared" si="2"/>
        <v>9188778.9894200005</v>
      </c>
      <c r="O50" s="111">
        <f t="shared" si="1"/>
        <v>765731.58245166671</v>
      </c>
    </row>
    <row r="51" spans="1:15" hidden="1" outlineLevel="1" x14ac:dyDescent="0.25">
      <c r="A51" s="112" t="s">
        <v>209</v>
      </c>
      <c r="B51" s="111">
        <v>101280.55</v>
      </c>
      <c r="C51" s="111">
        <v>135330.60999999999</v>
      </c>
      <c r="D51" s="111">
        <v>116349.39</v>
      </c>
      <c r="E51" s="111">
        <v>108115.59</v>
      </c>
      <c r="F51" s="111">
        <v>119522.39</v>
      </c>
      <c r="G51" s="111">
        <v>119800.21</v>
      </c>
      <c r="H51" s="111">
        <v>129956.56</v>
      </c>
      <c r="I51" s="111">
        <v>144056.69</v>
      </c>
      <c r="J51" s="111">
        <v>154513.57999999999</v>
      </c>
      <c r="K51" s="111">
        <v>158581.78</v>
      </c>
      <c r="L51" s="111">
        <v>135820.03512000002</v>
      </c>
      <c r="M51" s="111">
        <v>135480.22896000001</v>
      </c>
      <c r="N51" s="114">
        <f t="shared" si="2"/>
        <v>1558807.6140800002</v>
      </c>
      <c r="O51" s="111">
        <f t="shared" si="1"/>
        <v>129900.63450666668</v>
      </c>
    </row>
    <row r="52" spans="1:15" hidden="1" outlineLevel="1" x14ac:dyDescent="0.25">
      <c r="A52" s="112" t="s">
        <v>210</v>
      </c>
      <c r="B52" s="111">
        <v>1423766.98</v>
      </c>
      <c r="C52" s="111">
        <v>1335320.92</v>
      </c>
      <c r="D52" s="111">
        <v>1465886.7</v>
      </c>
      <c r="E52" s="111">
        <v>1605693.42</v>
      </c>
      <c r="F52" s="111">
        <v>1830746.52</v>
      </c>
      <c r="G52" s="111">
        <v>1632886.01</v>
      </c>
      <c r="H52" s="111">
        <v>1579436.7</v>
      </c>
      <c r="I52" s="111">
        <v>1612570.43</v>
      </c>
      <c r="J52" s="111">
        <v>1617417.25</v>
      </c>
      <c r="K52" s="111">
        <v>1956355.37</v>
      </c>
      <c r="L52" s="111">
        <v>1639690.0858800001</v>
      </c>
      <c r="M52" s="111">
        <v>1553685.95994</v>
      </c>
      <c r="N52" s="114">
        <f t="shared" si="2"/>
        <v>19253456.345819999</v>
      </c>
      <c r="O52" s="111">
        <f t="shared" si="1"/>
        <v>1604454.6954849998</v>
      </c>
    </row>
    <row r="53" spans="1:15" hidden="1" outlineLevel="1" x14ac:dyDescent="0.25">
      <c r="A53" s="112" t="s">
        <v>211</v>
      </c>
      <c r="B53" s="111">
        <v>55.46</v>
      </c>
      <c r="C53" s="111">
        <v>4515.04</v>
      </c>
      <c r="D53" s="111">
        <v>60.91</v>
      </c>
      <c r="E53" s="111">
        <v>80.459999999999994</v>
      </c>
      <c r="F53" s="111">
        <v>95.65</v>
      </c>
      <c r="G53" s="111">
        <v>106.91</v>
      </c>
      <c r="H53" s="111">
        <v>88.03</v>
      </c>
      <c r="I53" s="111">
        <v>66.28</v>
      </c>
      <c r="J53" s="111">
        <v>87.57</v>
      </c>
      <c r="K53" s="111">
        <v>82.27</v>
      </c>
      <c r="L53" s="111">
        <v>71.887200000000007</v>
      </c>
      <c r="M53" s="111">
        <v>59.505880000000012</v>
      </c>
      <c r="N53" s="114">
        <f t="shared" si="2"/>
        <v>5369.9730799999988</v>
      </c>
      <c r="O53" s="111">
        <f t="shared" si="1"/>
        <v>447.49775666666659</v>
      </c>
    </row>
    <row r="54" spans="1:15" hidden="1" outlineLevel="1" x14ac:dyDescent="0.25">
      <c r="A54" s="113" t="s">
        <v>212</v>
      </c>
      <c r="B54" s="111">
        <v>15133469.640000001</v>
      </c>
      <c r="C54" s="111">
        <v>14051681.640000001</v>
      </c>
      <c r="D54" s="111">
        <v>16471155.630000001</v>
      </c>
      <c r="E54" s="111">
        <v>15981014.65</v>
      </c>
      <c r="F54" s="111">
        <v>15579185.380000001</v>
      </c>
      <c r="G54" s="111">
        <v>14988906.65</v>
      </c>
      <c r="H54" s="111">
        <v>14691233.619999999</v>
      </c>
      <c r="I54" s="111">
        <v>15166816.83</v>
      </c>
      <c r="J54" s="111">
        <v>16544649.91</v>
      </c>
      <c r="K54" s="111">
        <v>18351460.899999999</v>
      </c>
      <c r="L54" s="111">
        <v>16531415.189520001</v>
      </c>
      <c r="M54" s="111">
        <v>17262982.028480001</v>
      </c>
      <c r="N54" s="114">
        <f t="shared" si="2"/>
        <v>190753972.06800002</v>
      </c>
      <c r="O54" s="111">
        <f t="shared" si="1"/>
        <v>15896164.339000002</v>
      </c>
    </row>
    <row r="55" spans="1:15" hidden="1" outlineLevel="1" x14ac:dyDescent="0.25">
      <c r="A55" s="113" t="s">
        <v>213</v>
      </c>
      <c r="B55" s="111">
        <v>11292704.060000001</v>
      </c>
      <c r="C55" s="111">
        <v>10273434.029999999</v>
      </c>
      <c r="D55" s="111">
        <v>11746214.27</v>
      </c>
      <c r="E55" s="111">
        <v>11430803.060000001</v>
      </c>
      <c r="F55" s="111">
        <v>10995713.449999999</v>
      </c>
      <c r="G55" s="111">
        <v>10098353.720000001</v>
      </c>
      <c r="H55" s="111">
        <v>9876172.0099999998</v>
      </c>
      <c r="I55" s="111">
        <v>10040608.82</v>
      </c>
      <c r="J55" s="111">
        <v>10978640.74</v>
      </c>
      <c r="K55" s="111">
        <v>12298179.449999999</v>
      </c>
      <c r="L55" s="111">
        <v>11122271.067600001</v>
      </c>
      <c r="M55" s="111">
        <v>11478975.032360001</v>
      </c>
      <c r="N55" s="114">
        <f t="shared" si="2"/>
        <v>131632069.70996001</v>
      </c>
      <c r="O55" s="111">
        <f t="shared" si="1"/>
        <v>10969339.142496668</v>
      </c>
    </row>
    <row r="56" spans="1:15" hidden="1" outlineLevel="1" x14ac:dyDescent="0.25">
      <c r="A56" s="112" t="s">
        <v>214</v>
      </c>
      <c r="B56" s="111">
        <v>20583.87</v>
      </c>
      <c r="C56" s="111">
        <v>19000.64</v>
      </c>
      <c r="D56" s="111">
        <v>20415.349999999999</v>
      </c>
      <c r="E56" s="111">
        <v>19171.12</v>
      </c>
      <c r="F56" s="111">
        <v>17435.599999999999</v>
      </c>
      <c r="G56" s="111">
        <v>15765.24</v>
      </c>
      <c r="H56" s="111">
        <v>14014.04</v>
      </c>
      <c r="I56" s="111">
        <v>15937.5</v>
      </c>
      <c r="J56" s="111">
        <v>17708.04</v>
      </c>
      <c r="K56" s="111">
        <v>17643.02</v>
      </c>
      <c r="L56" s="111">
        <v>12783.512280000001</v>
      </c>
      <c r="M56" s="111">
        <v>14935.090760000001</v>
      </c>
      <c r="N56" s="114">
        <f t="shared" si="2"/>
        <v>205393.02303999997</v>
      </c>
      <c r="O56" s="111">
        <f t="shared" si="1"/>
        <v>17116.085253333331</v>
      </c>
    </row>
    <row r="57" spans="1:15" hidden="1" outlineLevel="1" x14ac:dyDescent="0.25">
      <c r="A57" s="112" t="s">
        <v>215</v>
      </c>
      <c r="B57" s="111">
        <v>445.82</v>
      </c>
      <c r="C57" s="111">
        <v>895.49</v>
      </c>
      <c r="D57" s="111">
        <v>680.62</v>
      </c>
      <c r="E57" s="111">
        <v>412.55</v>
      </c>
      <c r="F57" s="111">
        <v>562.19000000000005</v>
      </c>
      <c r="G57" s="111">
        <v>681.97</v>
      </c>
      <c r="H57" s="111">
        <v>655.28</v>
      </c>
      <c r="I57" s="111">
        <v>1063.3</v>
      </c>
      <c r="J57" s="111">
        <v>4545.0200000000004</v>
      </c>
      <c r="K57" s="111">
        <v>2620.4499999999998</v>
      </c>
      <c r="L57" s="111">
        <v>2523.19452</v>
      </c>
      <c r="M57" s="111">
        <v>964.37512000000004</v>
      </c>
      <c r="N57" s="114">
        <f t="shared" si="2"/>
        <v>16050.259640000004</v>
      </c>
      <c r="O57" s="111">
        <f t="shared" si="1"/>
        <v>1337.5216366666671</v>
      </c>
    </row>
    <row r="58" spans="1:15" hidden="1" outlineLevel="1" x14ac:dyDescent="0.25">
      <c r="A58" s="112" t="s">
        <v>216</v>
      </c>
      <c r="B58" s="111">
        <v>2896302.51</v>
      </c>
      <c r="C58" s="111">
        <v>2614538.27</v>
      </c>
      <c r="D58" s="111">
        <v>2970513.25</v>
      </c>
      <c r="E58" s="111">
        <v>2685705.21</v>
      </c>
      <c r="F58" s="111">
        <v>2638380.59</v>
      </c>
      <c r="G58" s="111">
        <v>2404999.27</v>
      </c>
      <c r="H58" s="111">
        <v>2328273.41</v>
      </c>
      <c r="I58" s="111">
        <v>2391770.85</v>
      </c>
      <c r="J58" s="111">
        <v>2657140.06</v>
      </c>
      <c r="K58" s="111">
        <v>2851179.31</v>
      </c>
      <c r="L58" s="111">
        <v>2553294.6700800001</v>
      </c>
      <c r="M58" s="111">
        <v>2730195.3562600003</v>
      </c>
      <c r="N58" s="114">
        <f t="shared" si="2"/>
        <v>31722292.756339997</v>
      </c>
      <c r="O58" s="111">
        <f t="shared" si="1"/>
        <v>2643524.3963616663</v>
      </c>
    </row>
    <row r="59" spans="1:15" hidden="1" outlineLevel="1" x14ac:dyDescent="0.25">
      <c r="A59" s="112" t="s">
        <v>217</v>
      </c>
      <c r="B59" s="111">
        <v>1603976.62</v>
      </c>
      <c r="C59" s="111">
        <v>1411252.41</v>
      </c>
      <c r="D59" s="111">
        <v>1506503.91</v>
      </c>
      <c r="E59" s="111">
        <v>1320620.21</v>
      </c>
      <c r="F59" s="111">
        <v>1364047.67</v>
      </c>
      <c r="G59" s="111">
        <v>1199272.3799999999</v>
      </c>
      <c r="H59" s="111">
        <v>1193328.46</v>
      </c>
      <c r="I59" s="111">
        <v>1225091.96</v>
      </c>
      <c r="J59" s="111">
        <v>1341942.5</v>
      </c>
      <c r="K59" s="111">
        <v>1331352.6499999999</v>
      </c>
      <c r="L59" s="111">
        <v>1150053.4122000001</v>
      </c>
      <c r="M59" s="111">
        <v>1280347.4058600001</v>
      </c>
      <c r="N59" s="114">
        <f t="shared" si="2"/>
        <v>15927789.588060001</v>
      </c>
      <c r="O59" s="111">
        <f t="shared" si="1"/>
        <v>1327315.7990050002</v>
      </c>
    </row>
    <row r="60" spans="1:15" hidden="1" outlineLevel="1" x14ac:dyDescent="0.25">
      <c r="A60" s="112" t="s">
        <v>218</v>
      </c>
      <c r="B60" s="111">
        <v>1292325.8899999999</v>
      </c>
      <c r="C60" s="111">
        <v>1203285.8600000001</v>
      </c>
      <c r="D60" s="111">
        <v>1464009.34</v>
      </c>
      <c r="E60" s="111">
        <v>1365085</v>
      </c>
      <c r="F60" s="111">
        <v>1274332.92</v>
      </c>
      <c r="G60" s="111">
        <v>1205726.8899999999</v>
      </c>
      <c r="H60" s="111">
        <v>1134944.95</v>
      </c>
      <c r="I60" s="111">
        <v>1166678.8899999999</v>
      </c>
      <c r="J60" s="111">
        <v>1315197.56</v>
      </c>
      <c r="K60" s="111">
        <v>1519826.66</v>
      </c>
      <c r="L60" s="111">
        <v>1403241.2578800002</v>
      </c>
      <c r="M60" s="111">
        <v>1449847.9504</v>
      </c>
      <c r="N60" s="114">
        <f t="shared" si="2"/>
        <v>15794503.168280002</v>
      </c>
      <c r="O60" s="111">
        <f t="shared" si="1"/>
        <v>1316208.5973566668</v>
      </c>
    </row>
    <row r="61" spans="1:15" hidden="1" outlineLevel="1" x14ac:dyDescent="0.25">
      <c r="A61" s="112" t="s">
        <v>219</v>
      </c>
      <c r="B61" s="111">
        <v>4355453.32</v>
      </c>
      <c r="C61" s="111">
        <v>3941734.45</v>
      </c>
      <c r="D61" s="111">
        <v>4617722.5999999996</v>
      </c>
      <c r="E61" s="111">
        <v>4888942.8099999996</v>
      </c>
      <c r="F61" s="111">
        <v>4440328.5999999996</v>
      </c>
      <c r="G61" s="111">
        <v>3889479.63</v>
      </c>
      <c r="H61" s="111">
        <v>3765778.87</v>
      </c>
      <c r="I61" s="111">
        <v>3757932.83</v>
      </c>
      <c r="J61" s="111">
        <v>4045823.81</v>
      </c>
      <c r="K61" s="111">
        <v>4606533.53</v>
      </c>
      <c r="L61" s="111">
        <v>4107858.2437200006</v>
      </c>
      <c r="M61" s="111">
        <v>4257717.3257400002</v>
      </c>
      <c r="N61" s="114">
        <f t="shared" si="2"/>
        <v>50675306.019460008</v>
      </c>
      <c r="O61" s="111">
        <f t="shared" si="1"/>
        <v>4222942.1682883343</v>
      </c>
    </row>
    <row r="62" spans="1:15" hidden="1" outlineLevel="1" x14ac:dyDescent="0.25">
      <c r="A62" s="112" t="s">
        <v>220</v>
      </c>
      <c r="B62" s="111">
        <v>2516399.59</v>
      </c>
      <c r="C62" s="111">
        <v>2203583.29</v>
      </c>
      <c r="D62" s="111">
        <v>2504463.4500000002</v>
      </c>
      <c r="E62" s="111">
        <v>2549248.19</v>
      </c>
      <c r="F62" s="111">
        <v>2385043.27</v>
      </c>
      <c r="G62" s="111">
        <v>2013386.13</v>
      </c>
      <c r="H62" s="111">
        <v>1920899.08</v>
      </c>
      <c r="I62" s="111">
        <v>1944564.74</v>
      </c>
      <c r="J62" s="111">
        <v>2126500.0099999998</v>
      </c>
      <c r="K62" s="111">
        <v>2503509.29</v>
      </c>
      <c r="L62" s="111">
        <v>2256723.0932399998</v>
      </c>
      <c r="M62" s="111">
        <v>2379840.13222</v>
      </c>
      <c r="N62" s="114">
        <f t="shared" si="2"/>
        <v>27304160.265459999</v>
      </c>
      <c r="O62" s="111">
        <f t="shared" si="1"/>
        <v>2275346.6887883334</v>
      </c>
    </row>
    <row r="63" spans="1:15" hidden="1" outlineLevel="1" x14ac:dyDescent="0.25">
      <c r="A63" s="112" t="s">
        <v>221</v>
      </c>
      <c r="B63" s="111">
        <v>1839053.73</v>
      </c>
      <c r="C63" s="111">
        <v>1738151.16</v>
      </c>
      <c r="D63" s="111">
        <v>2113259.15</v>
      </c>
      <c r="E63" s="111">
        <v>2339694.62</v>
      </c>
      <c r="F63" s="111">
        <v>2055285.33</v>
      </c>
      <c r="G63" s="111">
        <v>1876093.5</v>
      </c>
      <c r="H63" s="111">
        <v>1844879.79</v>
      </c>
      <c r="I63" s="111">
        <v>1813368.09</v>
      </c>
      <c r="J63" s="111">
        <v>1919323.8</v>
      </c>
      <c r="K63" s="111">
        <v>2103024.2400000002</v>
      </c>
      <c r="L63" s="111">
        <v>1851135.1504800001</v>
      </c>
      <c r="M63" s="111">
        <v>1877877.19352</v>
      </c>
      <c r="N63" s="114">
        <f t="shared" si="2"/>
        <v>23371145.753999993</v>
      </c>
      <c r="O63" s="111">
        <f t="shared" si="1"/>
        <v>1947595.4794999994</v>
      </c>
    </row>
    <row r="64" spans="1:15" hidden="1" outlineLevel="1" x14ac:dyDescent="0.25">
      <c r="A64" s="112" t="s">
        <v>222</v>
      </c>
      <c r="B64" s="111">
        <v>2782175.92</v>
      </c>
      <c r="C64" s="111">
        <v>2589122.36</v>
      </c>
      <c r="D64" s="111">
        <v>2870329.83</v>
      </c>
      <c r="E64" s="111">
        <v>2655304.1800000002</v>
      </c>
      <c r="F64" s="111">
        <v>2732392.36</v>
      </c>
      <c r="G64" s="111">
        <v>2706016.98</v>
      </c>
      <c r="H64" s="111">
        <v>2686039.78</v>
      </c>
      <c r="I64" s="111">
        <v>2794345.69</v>
      </c>
      <c r="J64" s="111">
        <v>3088219.15</v>
      </c>
      <c r="K64" s="111">
        <v>3556136.77</v>
      </c>
      <c r="L64" s="111">
        <v>3259255.53492</v>
      </c>
      <c r="M64" s="111">
        <v>3119130.7022000002</v>
      </c>
      <c r="N64" s="114">
        <f t="shared" si="2"/>
        <v>34838469.257119998</v>
      </c>
      <c r="O64" s="111">
        <f t="shared" si="1"/>
        <v>2903205.7714266665</v>
      </c>
    </row>
    <row r="65" spans="1:49" hidden="1" outlineLevel="1" x14ac:dyDescent="0.25">
      <c r="A65" s="112" t="s">
        <v>223</v>
      </c>
      <c r="B65" s="111">
        <v>7162.44</v>
      </c>
      <c r="C65" s="111">
        <v>12295.68</v>
      </c>
      <c r="D65" s="111">
        <v>8542.14</v>
      </c>
      <c r="E65" s="111">
        <v>20701.2</v>
      </c>
      <c r="F65" s="111">
        <v>15767.08</v>
      </c>
      <c r="G65" s="111">
        <v>36823.56</v>
      </c>
      <c r="H65" s="111">
        <v>28377.47</v>
      </c>
      <c r="I65" s="111">
        <v>36288.9</v>
      </c>
      <c r="J65" s="111">
        <v>61109.99</v>
      </c>
      <c r="K65" s="111">
        <v>23367.32</v>
      </c>
      <c r="L65" s="111">
        <v>20948.964960000001</v>
      </c>
      <c r="M65" s="111">
        <v>8292.7538199999999</v>
      </c>
      <c r="N65" s="114">
        <f t="shared" si="2"/>
        <v>279677.49877999997</v>
      </c>
      <c r="O65" s="111">
        <f t="shared" si="1"/>
        <v>23306.458231666664</v>
      </c>
    </row>
    <row r="66" spans="1:49" hidden="1" outlineLevel="1" x14ac:dyDescent="0.25">
      <c r="A66" s="112" t="s">
        <v>224</v>
      </c>
      <c r="B66" s="111">
        <v>1230580.18</v>
      </c>
      <c r="C66" s="111">
        <v>1095847.1399999999</v>
      </c>
      <c r="D66" s="111">
        <v>1258010.48</v>
      </c>
      <c r="E66" s="111">
        <v>1160565.99</v>
      </c>
      <c r="F66" s="111">
        <v>1150847.03</v>
      </c>
      <c r="G66" s="111">
        <v>1044587.07</v>
      </c>
      <c r="H66" s="111">
        <v>1053033.1599999999</v>
      </c>
      <c r="I66" s="111">
        <v>1043269.75</v>
      </c>
      <c r="J66" s="111">
        <v>1104094.67</v>
      </c>
      <c r="K66" s="111">
        <v>1240699.05</v>
      </c>
      <c r="L66" s="111">
        <v>1165606.9471199999</v>
      </c>
      <c r="M66" s="111">
        <v>1347739.4284600001</v>
      </c>
      <c r="N66" s="114">
        <f t="shared" si="2"/>
        <v>13894880.895580001</v>
      </c>
      <c r="O66" s="111">
        <f t="shared" si="1"/>
        <v>1157906.7412983335</v>
      </c>
    </row>
    <row r="67" spans="1:49" hidden="1" outlineLevel="1" x14ac:dyDescent="0.25">
      <c r="A67" s="113" t="s">
        <v>225</v>
      </c>
      <c r="B67" s="111">
        <v>3840765.58</v>
      </c>
      <c r="C67" s="111">
        <v>3778247.61</v>
      </c>
      <c r="D67" s="111">
        <v>4724941.3600000003</v>
      </c>
      <c r="E67" s="111">
        <v>4550211.59</v>
      </c>
      <c r="F67" s="111">
        <v>4583471.93</v>
      </c>
      <c r="G67" s="111">
        <v>4890552.93</v>
      </c>
      <c r="H67" s="111">
        <v>4815061.6100000003</v>
      </c>
      <c r="I67" s="111">
        <v>5126208.01</v>
      </c>
      <c r="J67" s="111">
        <v>5566009.1699999999</v>
      </c>
      <c r="K67" s="111">
        <v>6053281.4500000002</v>
      </c>
      <c r="L67" s="111">
        <v>5409144.1219200008</v>
      </c>
      <c r="M67" s="111">
        <v>5784006.9961200003</v>
      </c>
      <c r="N67" s="114">
        <f t="shared" si="2"/>
        <v>59121902.358039998</v>
      </c>
      <c r="O67" s="111">
        <f t="shared" ref="O67:O72" si="3">AVERAGE(B67:M67)</f>
        <v>4926825.1965033328</v>
      </c>
    </row>
    <row r="68" spans="1:49" hidden="1" outlineLevel="1" x14ac:dyDescent="0.25">
      <c r="A68" s="112" t="s">
        <v>226</v>
      </c>
      <c r="B68" s="111">
        <v>120995.35</v>
      </c>
      <c r="C68" s="111">
        <v>108878.9</v>
      </c>
      <c r="D68" s="111">
        <v>209644.57</v>
      </c>
      <c r="E68" s="111">
        <v>266396.69</v>
      </c>
      <c r="F68" s="111">
        <v>346870.08</v>
      </c>
      <c r="G68" s="111">
        <v>404029.03</v>
      </c>
      <c r="H68" s="111">
        <v>425415.67</v>
      </c>
      <c r="I68" s="111">
        <v>439683.58</v>
      </c>
      <c r="J68" s="111">
        <v>351807.31</v>
      </c>
      <c r="K68" s="111">
        <v>178053.87</v>
      </c>
      <c r="L68" s="111">
        <v>118031.56595999999</v>
      </c>
      <c r="M68" s="111">
        <v>136127.38076</v>
      </c>
      <c r="N68" s="114">
        <f t="shared" si="2"/>
        <v>3105933.9967200002</v>
      </c>
      <c r="O68" s="111">
        <f t="shared" si="3"/>
        <v>258827.83306</v>
      </c>
    </row>
    <row r="69" spans="1:49" hidden="1" outlineLevel="1" x14ac:dyDescent="0.25">
      <c r="A69" s="112" t="s">
        <v>227</v>
      </c>
      <c r="B69" s="111">
        <v>18250.939999999999</v>
      </c>
      <c r="C69" s="111">
        <v>37868.81</v>
      </c>
      <c r="D69" s="111">
        <v>20030.95</v>
      </c>
      <c r="E69" s="111">
        <v>16678.53</v>
      </c>
      <c r="F69" s="111">
        <v>13831.34</v>
      </c>
      <c r="G69" s="111">
        <v>14398.22</v>
      </c>
      <c r="H69" s="111">
        <v>12972.18</v>
      </c>
      <c r="I69" s="111">
        <v>16833.48</v>
      </c>
      <c r="J69" s="111">
        <v>23824.53</v>
      </c>
      <c r="K69" s="111">
        <v>30014.69</v>
      </c>
      <c r="L69" s="111">
        <v>0</v>
      </c>
      <c r="M69" s="111">
        <v>22513.08252</v>
      </c>
      <c r="N69" s="114">
        <f t="shared" si="2"/>
        <v>227216.75252000001</v>
      </c>
      <c r="O69" s="111">
        <f t="shared" si="3"/>
        <v>18934.729376666666</v>
      </c>
    </row>
    <row r="70" spans="1:49" hidden="1" outlineLevel="1" x14ac:dyDescent="0.25">
      <c r="A70" s="112" t="s">
        <v>228</v>
      </c>
      <c r="B70" s="111">
        <v>41692.550000000003</v>
      </c>
      <c r="C70" s="111">
        <v>46074.879999999997</v>
      </c>
      <c r="D70" s="111">
        <v>179437.28</v>
      </c>
      <c r="E70" s="111">
        <v>213088.21</v>
      </c>
      <c r="F70" s="111">
        <v>294103.75</v>
      </c>
      <c r="G70" s="111">
        <v>681958.07</v>
      </c>
      <c r="H70" s="111">
        <v>804243.6</v>
      </c>
      <c r="I70" s="111">
        <v>832394.22</v>
      </c>
      <c r="J70" s="111">
        <v>370566.94</v>
      </c>
      <c r="K70" s="111">
        <v>118556.77</v>
      </c>
      <c r="L70" s="111">
        <v>79920.040200000003</v>
      </c>
      <c r="M70" s="111">
        <v>78644.85742</v>
      </c>
      <c r="N70" s="114">
        <f t="shared" si="2"/>
        <v>3740681.1676199995</v>
      </c>
      <c r="O70" s="111">
        <f t="shared" si="3"/>
        <v>311723.43063499994</v>
      </c>
    </row>
    <row r="71" spans="1:49" hidden="1" outlineLevel="1" x14ac:dyDescent="0.25">
      <c r="A71" s="112" t="s">
        <v>229</v>
      </c>
      <c r="B71" s="111">
        <v>2294356.5299999998</v>
      </c>
      <c r="C71" s="111">
        <v>2205719.02</v>
      </c>
      <c r="D71" s="111">
        <v>2747817.86</v>
      </c>
      <c r="E71" s="111">
        <v>2618025.98</v>
      </c>
      <c r="F71" s="111">
        <v>2245467.4300000002</v>
      </c>
      <c r="G71" s="111">
        <v>2126167.5299999998</v>
      </c>
      <c r="H71" s="111">
        <v>2114978.36</v>
      </c>
      <c r="I71" s="111">
        <v>2144937.2200000002</v>
      </c>
      <c r="J71" s="111">
        <v>2840905.96</v>
      </c>
      <c r="K71" s="111">
        <v>3345731.91</v>
      </c>
      <c r="L71" s="111">
        <v>3060503.60616</v>
      </c>
      <c r="M71" s="111">
        <v>3174478.27</v>
      </c>
      <c r="N71" s="114">
        <f t="shared" si="2"/>
        <v>30919089.67616</v>
      </c>
      <c r="O71" s="111">
        <f t="shared" si="3"/>
        <v>2576590.8063466665</v>
      </c>
    </row>
    <row r="72" spans="1:49" hidden="1" outlineLevel="1" x14ac:dyDescent="0.25">
      <c r="A72" s="112" t="s">
        <v>230</v>
      </c>
      <c r="B72" s="111">
        <v>1365470.21</v>
      </c>
      <c r="C72" s="111">
        <v>1379706</v>
      </c>
      <c r="D72" s="111">
        <v>1568010.7</v>
      </c>
      <c r="E72" s="111">
        <v>1436022.18</v>
      </c>
      <c r="F72" s="111">
        <v>1683199.33</v>
      </c>
      <c r="G72" s="111">
        <v>1664000.08</v>
      </c>
      <c r="H72" s="111">
        <v>1457451.8</v>
      </c>
      <c r="I72" s="111">
        <v>1692359.51</v>
      </c>
      <c r="J72" s="111">
        <v>1978904.43</v>
      </c>
      <c r="K72" s="111">
        <v>2351004.02</v>
      </c>
      <c r="L72" s="111">
        <v>2120550.51516</v>
      </c>
      <c r="M72" s="111">
        <v>2371146.5942199999</v>
      </c>
      <c r="N72" s="114">
        <f t="shared" si="2"/>
        <v>21067825.369380001</v>
      </c>
      <c r="O72" s="111">
        <f t="shared" si="3"/>
        <v>1755652.114115</v>
      </c>
    </row>
    <row r="73" spans="1:49" hidden="1" outlineLevel="1" x14ac:dyDescent="0.25"/>
    <row r="74" spans="1:49" collapsed="1" x14ac:dyDescent="0.25">
      <c r="B74" s="114" t="s">
        <v>231</v>
      </c>
    </row>
    <row r="75" spans="1:49" x14ac:dyDescent="0.25">
      <c r="A75" s="115"/>
      <c r="B75" s="116">
        <v>0.916954660940836</v>
      </c>
      <c r="C75" s="116">
        <v>0.9418810521937705</v>
      </c>
      <c r="D75" s="116">
        <v>1.0701839841229248</v>
      </c>
      <c r="E75" s="116">
        <v>1.1077549423510056</v>
      </c>
      <c r="F75" s="116">
        <v>0.95055746175987843</v>
      </c>
      <c r="G75" s="116">
        <v>0.88687880250637219</v>
      </c>
      <c r="H75" s="116">
        <v>0.88016780381637938</v>
      </c>
      <c r="I75" s="116">
        <v>0.92952837501352326</v>
      </c>
      <c r="J75" s="116">
        <v>1.0348222147770805</v>
      </c>
      <c r="K75" s="116">
        <v>1.1060353886672207</v>
      </c>
      <c r="L75" s="116">
        <v>1.0200203356133806</v>
      </c>
      <c r="M75" s="117">
        <v>1.1742569651363894</v>
      </c>
      <c r="O75" s="114" t="s">
        <v>232</v>
      </c>
    </row>
    <row r="76" spans="1:49" x14ac:dyDescent="0.25">
      <c r="A76" s="118"/>
      <c r="B76" s="119" t="s">
        <v>147</v>
      </c>
      <c r="C76" s="119" t="s">
        <v>148</v>
      </c>
      <c r="D76" s="119" t="s">
        <v>149</v>
      </c>
      <c r="E76" s="119" t="s">
        <v>150</v>
      </c>
      <c r="F76" s="119" t="s">
        <v>151</v>
      </c>
      <c r="G76" s="119" t="s">
        <v>152</v>
      </c>
      <c r="H76" s="119" t="s">
        <v>153</v>
      </c>
      <c r="I76" s="119" t="s">
        <v>154</v>
      </c>
      <c r="J76" s="119" t="s">
        <v>155</v>
      </c>
      <c r="K76" s="119" t="s">
        <v>156</v>
      </c>
      <c r="L76" s="119" t="s">
        <v>157</v>
      </c>
      <c r="M76" s="119" t="s">
        <v>158</v>
      </c>
      <c r="N76" s="119"/>
      <c r="O76" s="119" t="s">
        <v>147</v>
      </c>
      <c r="P76" s="119" t="s">
        <v>148</v>
      </c>
      <c r="Q76" s="119" t="s">
        <v>149</v>
      </c>
      <c r="R76" s="119" t="s">
        <v>150</v>
      </c>
      <c r="S76" s="119" t="s">
        <v>151</v>
      </c>
      <c r="T76" s="119" t="s">
        <v>152</v>
      </c>
      <c r="U76" s="119" t="s">
        <v>153</v>
      </c>
      <c r="V76" s="119" t="s">
        <v>154</v>
      </c>
      <c r="W76" s="119" t="s">
        <v>155</v>
      </c>
      <c r="X76" s="119" t="s">
        <v>156</v>
      </c>
      <c r="Y76" s="119" t="s">
        <v>157</v>
      </c>
      <c r="Z76" s="119" t="s">
        <v>158</v>
      </c>
    </row>
    <row r="77" spans="1:49" s="113" customFormat="1" x14ac:dyDescent="0.25">
      <c r="A77" s="120" t="str">
        <f t="shared" ref="A77:A140" si="4">A3</f>
        <v>Готовая продукция</v>
      </c>
      <c r="B77" s="121">
        <f t="shared" ref="B77:M87" si="5">B3/$O3</f>
        <v>0.92476614126949996</v>
      </c>
      <c r="C77" s="121">
        <f t="shared" si="5"/>
        <v>0.92175275760979236</v>
      </c>
      <c r="D77" s="121">
        <f t="shared" si="5"/>
        <v>1.060247480640361</v>
      </c>
      <c r="E77" s="121">
        <f t="shared" si="5"/>
        <v>1.0954318298456236</v>
      </c>
      <c r="F77" s="121">
        <f t="shared" si="5"/>
        <v>0.9461898277128552</v>
      </c>
      <c r="G77" s="121">
        <f t="shared" si="5"/>
        <v>0.89167569914117506</v>
      </c>
      <c r="H77" s="121">
        <f t="shared" si="5"/>
        <v>0.88809894714455395</v>
      </c>
      <c r="I77" s="121">
        <f t="shared" si="5"/>
        <v>0.92929972818976148</v>
      </c>
      <c r="J77" s="121">
        <f t="shared" si="5"/>
        <v>1.0194562551252193</v>
      </c>
      <c r="K77" s="121">
        <f t="shared" si="5"/>
        <v>1.1159536219110446</v>
      </c>
      <c r="L77" s="121">
        <f t="shared" si="5"/>
        <v>1.017728961649758</v>
      </c>
      <c r="M77" s="121">
        <f t="shared" si="5"/>
        <v>1.1893987497603584</v>
      </c>
      <c r="N77" s="122"/>
      <c r="O77" s="123">
        <f t="shared" ref="O77:O87" si="6">IFERROR(ROUND(B77/M77-1,2),"")</f>
        <v>-0.22</v>
      </c>
      <c r="P77" s="123">
        <f t="shared" ref="P77:Z87" si="7">IFERROR(ROUND(C77/B77-1,2),"")</f>
        <v>0</v>
      </c>
      <c r="Q77" s="123">
        <f t="shared" si="7"/>
        <v>0.15</v>
      </c>
      <c r="R77" s="123">
        <f t="shared" si="7"/>
        <v>0.03</v>
      </c>
      <c r="S77" s="123">
        <f t="shared" si="7"/>
        <v>-0.14000000000000001</v>
      </c>
      <c r="T77" s="123">
        <f t="shared" si="7"/>
        <v>-0.06</v>
      </c>
      <c r="U77" s="123">
        <f t="shared" si="7"/>
        <v>0</v>
      </c>
      <c r="V77" s="123">
        <f t="shared" si="7"/>
        <v>0.05</v>
      </c>
      <c r="W77" s="123">
        <f t="shared" si="7"/>
        <v>0.1</v>
      </c>
      <c r="X77" s="123">
        <f t="shared" si="7"/>
        <v>0.09</v>
      </c>
      <c r="Y77" s="123">
        <f t="shared" si="7"/>
        <v>-0.09</v>
      </c>
      <c r="Z77" s="123">
        <f t="shared" si="7"/>
        <v>0.17</v>
      </c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</row>
    <row r="78" spans="1:49" x14ac:dyDescent="0.25">
      <c r="A78" s="124" t="str">
        <f t="shared" si="4"/>
        <v>Кондитерские изделия</v>
      </c>
      <c r="B78" s="125">
        <f t="shared" si="5"/>
        <v>0.94627800528990158</v>
      </c>
      <c r="C78" s="125">
        <f t="shared" si="5"/>
        <v>0.9719368443574592</v>
      </c>
      <c r="D78" s="125">
        <f t="shared" si="5"/>
        <v>1.0722173826851034</v>
      </c>
      <c r="E78" s="125">
        <f t="shared" si="5"/>
        <v>1.2066090356914121</v>
      </c>
      <c r="F78" s="125">
        <f t="shared" si="5"/>
        <v>0.8908018411976415</v>
      </c>
      <c r="G78" s="125">
        <f t="shared" si="5"/>
        <v>0.8467195722464792</v>
      </c>
      <c r="H78" s="125">
        <f t="shared" si="5"/>
        <v>0.84307008934887551</v>
      </c>
      <c r="I78" s="125">
        <f t="shared" si="5"/>
        <v>0.87296622879386299</v>
      </c>
      <c r="J78" s="125">
        <f t="shared" si="5"/>
        <v>0.98296902141735365</v>
      </c>
      <c r="K78" s="125">
        <f t="shared" si="5"/>
        <v>1.0804765399337053</v>
      </c>
      <c r="L78" s="125">
        <f t="shared" si="5"/>
        <v>0.99680117753662045</v>
      </c>
      <c r="M78" s="125">
        <f t="shared" si="5"/>
        <v>1.289154261501585</v>
      </c>
      <c r="N78" s="126"/>
      <c r="O78" s="127">
        <f t="shared" si="6"/>
        <v>-0.27</v>
      </c>
      <c r="P78" s="127">
        <f t="shared" si="7"/>
        <v>0.03</v>
      </c>
      <c r="Q78" s="127">
        <f t="shared" si="7"/>
        <v>0.1</v>
      </c>
      <c r="R78" s="127">
        <f t="shared" si="7"/>
        <v>0.13</v>
      </c>
      <c r="S78" s="127">
        <f t="shared" si="7"/>
        <v>-0.26</v>
      </c>
      <c r="T78" s="127">
        <f t="shared" si="7"/>
        <v>-0.05</v>
      </c>
      <c r="U78" s="127">
        <f t="shared" si="7"/>
        <v>0</v>
      </c>
      <c r="V78" s="127">
        <f t="shared" si="7"/>
        <v>0.04</v>
      </c>
      <c r="W78" s="127">
        <f t="shared" si="7"/>
        <v>0.13</v>
      </c>
      <c r="X78" s="127">
        <f t="shared" si="7"/>
        <v>0.1</v>
      </c>
      <c r="Y78" s="127">
        <f t="shared" si="7"/>
        <v>-0.08</v>
      </c>
      <c r="Z78" s="127">
        <f t="shared" si="7"/>
        <v>0.28999999999999998</v>
      </c>
    </row>
    <row r="79" spans="1:49" x14ac:dyDescent="0.25">
      <c r="A79" s="128" t="str">
        <f t="shared" si="4"/>
        <v>Десерты</v>
      </c>
      <c r="B79" s="129">
        <f t="shared" si="5"/>
        <v>1.3105200480929784</v>
      </c>
      <c r="C79" s="129">
        <f t="shared" si="5"/>
        <v>1.209094488389834</v>
      </c>
      <c r="D79" s="129">
        <f t="shared" si="5"/>
        <v>1.232363499833236</v>
      </c>
      <c r="E79" s="129">
        <f t="shared" si="5"/>
        <v>1.0311346039557878</v>
      </c>
      <c r="F79" s="129">
        <f t="shared" si="5"/>
        <v>1.0748064686698968</v>
      </c>
      <c r="G79" s="129">
        <f t="shared" si="5"/>
        <v>0.83301556880739103</v>
      </c>
      <c r="H79" s="129">
        <f t="shared" si="5"/>
        <v>0.83842024703663531</v>
      </c>
      <c r="I79" s="129">
        <f t="shared" si="5"/>
        <v>0.83147356644862613</v>
      </c>
      <c r="J79" s="129">
        <f t="shared" si="5"/>
        <v>1.1629981884461322</v>
      </c>
      <c r="K79" s="129">
        <f t="shared" si="5"/>
        <v>1.1463193244169412</v>
      </c>
      <c r="L79" s="129">
        <f t="shared" si="5"/>
        <v>0.6867313617583769</v>
      </c>
      <c r="M79" s="129">
        <f t="shared" si="5"/>
        <v>0.64312263414416337</v>
      </c>
      <c r="N79" s="130"/>
      <c r="O79" s="131">
        <f t="shared" si="6"/>
        <v>1.04</v>
      </c>
      <c r="P79" s="131">
        <f t="shared" si="7"/>
        <v>-0.08</v>
      </c>
      <c r="Q79" s="131">
        <f t="shared" si="7"/>
        <v>0.02</v>
      </c>
      <c r="R79" s="131">
        <f t="shared" si="7"/>
        <v>-0.16</v>
      </c>
      <c r="S79" s="131">
        <f t="shared" si="7"/>
        <v>0.04</v>
      </c>
      <c r="T79" s="131">
        <f t="shared" si="7"/>
        <v>-0.22</v>
      </c>
      <c r="U79" s="131">
        <f t="shared" si="7"/>
        <v>0.01</v>
      </c>
      <c r="V79" s="131">
        <f t="shared" si="7"/>
        <v>-0.01</v>
      </c>
      <c r="W79" s="131">
        <f t="shared" si="7"/>
        <v>0.4</v>
      </c>
      <c r="X79" s="131">
        <f t="shared" si="7"/>
        <v>-0.01</v>
      </c>
      <c r="Y79" s="131">
        <f t="shared" si="7"/>
        <v>-0.4</v>
      </c>
      <c r="Z79" s="131">
        <f t="shared" si="7"/>
        <v>-0.06</v>
      </c>
    </row>
    <row r="80" spans="1:49" x14ac:dyDescent="0.25">
      <c r="A80" s="128" t="str">
        <f t="shared" si="4"/>
        <v>Изделия из марципана</v>
      </c>
      <c r="B80" s="129">
        <f t="shared" si="5"/>
        <v>0.74965559593746367</v>
      </c>
      <c r="C80" s="129">
        <f t="shared" si="5"/>
        <v>1.1487894661056883</v>
      </c>
      <c r="D80" s="129">
        <f t="shared" si="5"/>
        <v>0.98482906751359089</v>
      </c>
      <c r="E80" s="129">
        <f t="shared" si="5"/>
        <v>0.80693738047186092</v>
      </c>
      <c r="F80" s="129">
        <f t="shared" si="5"/>
        <v>0.92326864301509382</v>
      </c>
      <c r="G80" s="129">
        <f t="shared" si="5"/>
        <v>0.78833654412578569</v>
      </c>
      <c r="H80" s="129">
        <f t="shared" si="5"/>
        <v>0.78880515160897824</v>
      </c>
      <c r="I80" s="129">
        <f t="shared" si="5"/>
        <v>0.76668270076026257</v>
      </c>
      <c r="J80" s="129">
        <f t="shared" si="5"/>
        <v>1.2661040813101982</v>
      </c>
      <c r="K80" s="129">
        <f t="shared" si="5"/>
        <v>1.4643701514620924</v>
      </c>
      <c r="L80" s="129">
        <f t="shared" si="5"/>
        <v>1.2955027409146267</v>
      </c>
      <c r="M80" s="129">
        <f t="shared" si="5"/>
        <v>1.0167184767743567</v>
      </c>
      <c r="N80" s="130"/>
      <c r="O80" s="131">
        <f t="shared" si="6"/>
        <v>-0.26</v>
      </c>
      <c r="P80" s="131">
        <f t="shared" si="7"/>
        <v>0.53</v>
      </c>
      <c r="Q80" s="131">
        <f t="shared" si="7"/>
        <v>-0.14000000000000001</v>
      </c>
      <c r="R80" s="131">
        <f t="shared" si="7"/>
        <v>-0.18</v>
      </c>
      <c r="S80" s="131">
        <f t="shared" si="7"/>
        <v>0.14000000000000001</v>
      </c>
      <c r="T80" s="131">
        <f t="shared" si="7"/>
        <v>-0.15</v>
      </c>
      <c r="U80" s="131">
        <f t="shared" si="7"/>
        <v>0</v>
      </c>
      <c r="V80" s="131">
        <f t="shared" si="7"/>
        <v>-0.03</v>
      </c>
      <c r="W80" s="131">
        <f t="shared" si="7"/>
        <v>0.65</v>
      </c>
      <c r="X80" s="131">
        <f t="shared" si="7"/>
        <v>0.16</v>
      </c>
      <c r="Y80" s="131">
        <f t="shared" si="7"/>
        <v>-0.12</v>
      </c>
      <c r="Z80" s="131">
        <f t="shared" si="7"/>
        <v>-0.22</v>
      </c>
    </row>
    <row r="81" spans="1:26" x14ac:dyDescent="0.25">
      <c r="A81" s="128" t="str">
        <f t="shared" si="4"/>
        <v>Изделия из слоенного теста</v>
      </c>
      <c r="B81" s="129">
        <f t="shared" si="5"/>
        <v>1.0405662495755819</v>
      </c>
      <c r="C81" s="129">
        <f t="shared" si="5"/>
        <v>1.0204141369353696</v>
      </c>
      <c r="D81" s="129">
        <f t="shared" si="5"/>
        <v>1.0434657130259486</v>
      </c>
      <c r="E81" s="129">
        <f t="shared" si="5"/>
        <v>0.8329980516383052</v>
      </c>
      <c r="F81" s="129">
        <f t="shared" si="5"/>
        <v>0.9851787820833251</v>
      </c>
      <c r="G81" s="129">
        <f t="shared" si="5"/>
        <v>0.87330475501629334</v>
      </c>
      <c r="H81" s="129">
        <f t="shared" si="5"/>
        <v>0.87667007848343625</v>
      </c>
      <c r="I81" s="129">
        <f t="shared" si="5"/>
        <v>0.91125666292825802</v>
      </c>
      <c r="J81" s="129">
        <f t="shared" si="5"/>
        <v>1.0000380801810882</v>
      </c>
      <c r="K81" s="129">
        <f t="shared" si="5"/>
        <v>1.1775291614834174</v>
      </c>
      <c r="L81" s="129">
        <f t="shared" si="5"/>
        <v>1.1202035238781192</v>
      </c>
      <c r="M81" s="129">
        <f t="shared" si="5"/>
        <v>1.1183748047708575</v>
      </c>
      <c r="N81" s="130"/>
      <c r="O81" s="131">
        <f t="shared" si="6"/>
        <v>-7.0000000000000007E-2</v>
      </c>
      <c r="P81" s="131">
        <f t="shared" si="7"/>
        <v>-0.02</v>
      </c>
      <c r="Q81" s="131">
        <f t="shared" si="7"/>
        <v>0.02</v>
      </c>
      <c r="R81" s="131">
        <f t="shared" si="7"/>
        <v>-0.2</v>
      </c>
      <c r="S81" s="131">
        <f t="shared" si="7"/>
        <v>0.18</v>
      </c>
      <c r="T81" s="131">
        <f t="shared" si="7"/>
        <v>-0.11</v>
      </c>
      <c r="U81" s="131">
        <f t="shared" si="7"/>
        <v>0</v>
      </c>
      <c r="V81" s="131">
        <f t="shared" si="7"/>
        <v>0.04</v>
      </c>
      <c r="W81" s="131">
        <f t="shared" si="7"/>
        <v>0.1</v>
      </c>
      <c r="X81" s="131">
        <f t="shared" si="7"/>
        <v>0.18</v>
      </c>
      <c r="Y81" s="131">
        <f t="shared" si="7"/>
        <v>-0.05</v>
      </c>
      <c r="Z81" s="131">
        <f t="shared" si="7"/>
        <v>0</v>
      </c>
    </row>
    <row r="82" spans="1:26" x14ac:dyDescent="0.25">
      <c r="A82" s="128" t="str">
        <f t="shared" si="4"/>
        <v>Изделия из шоколада</v>
      </c>
      <c r="B82" s="129">
        <f t="shared" si="5"/>
        <v>0.56497217860474069</v>
      </c>
      <c r="C82" s="129">
        <f t="shared" si="5"/>
        <v>4.928508200718122</v>
      </c>
      <c r="D82" s="129">
        <f t="shared" si="5"/>
        <v>0.52290574222822539</v>
      </c>
      <c r="E82" s="129">
        <f t="shared" si="5"/>
        <v>0.45385757234579849</v>
      </c>
      <c r="F82" s="129">
        <f t="shared" si="5"/>
        <v>1.003057602839768</v>
      </c>
      <c r="G82" s="129">
        <f t="shared" si="5"/>
        <v>0.77924050712565296</v>
      </c>
      <c r="H82" s="129">
        <f t="shared" si="5"/>
        <v>0.66276255303700515</v>
      </c>
      <c r="I82" s="129">
        <f t="shared" si="5"/>
        <v>0.65015257803356996</v>
      </c>
      <c r="J82" s="129">
        <f t="shared" si="5"/>
        <v>0.69964076059494706</v>
      </c>
      <c r="K82" s="129">
        <f t="shared" si="5"/>
        <v>0.72805466387230866</v>
      </c>
      <c r="L82" s="129">
        <f t="shared" si="5"/>
        <v>0.56951529673535362</v>
      </c>
      <c r="M82" s="129">
        <f t="shared" si="5"/>
        <v>0.43733234386450526</v>
      </c>
      <c r="N82" s="130"/>
      <c r="O82" s="131">
        <f t="shared" si="6"/>
        <v>0.28999999999999998</v>
      </c>
      <c r="P82" s="131">
        <f t="shared" si="7"/>
        <v>7.72</v>
      </c>
      <c r="Q82" s="131">
        <f t="shared" si="7"/>
        <v>-0.89</v>
      </c>
      <c r="R82" s="131">
        <f t="shared" si="7"/>
        <v>-0.13</v>
      </c>
      <c r="S82" s="131">
        <f t="shared" si="7"/>
        <v>1.21</v>
      </c>
      <c r="T82" s="131">
        <f t="shared" si="7"/>
        <v>-0.22</v>
      </c>
      <c r="U82" s="131">
        <f t="shared" si="7"/>
        <v>-0.15</v>
      </c>
      <c r="V82" s="131">
        <f t="shared" si="7"/>
        <v>-0.02</v>
      </c>
      <c r="W82" s="131">
        <f t="shared" si="7"/>
        <v>0.08</v>
      </c>
      <c r="X82" s="131">
        <f t="shared" si="7"/>
        <v>0.04</v>
      </c>
      <c r="Y82" s="131">
        <f t="shared" si="7"/>
        <v>-0.22</v>
      </c>
      <c r="Z82" s="131">
        <f t="shared" si="7"/>
        <v>-0.23</v>
      </c>
    </row>
    <row r="83" spans="1:26" x14ac:dyDescent="0.25">
      <c r="A83" s="128" t="str">
        <f t="shared" si="4"/>
        <v>Изделия на заказ</v>
      </c>
      <c r="B83" s="129">
        <f t="shared" si="5"/>
        <v>0.76651122558576001</v>
      </c>
      <c r="C83" s="129">
        <f t="shared" si="5"/>
        <v>0.96380583249181806</v>
      </c>
      <c r="D83" s="129">
        <f t="shared" si="5"/>
        <v>0.8934921573577469</v>
      </c>
      <c r="E83" s="129">
        <f t="shared" si="5"/>
        <v>0.95883772165048031</v>
      </c>
      <c r="F83" s="129">
        <f t="shared" si="5"/>
        <v>0.9217646137561345</v>
      </c>
      <c r="G83" s="129">
        <f t="shared" si="5"/>
        <v>1.0951125815732194</v>
      </c>
      <c r="H83" s="129">
        <f t="shared" si="5"/>
        <v>0.91920412639794036</v>
      </c>
      <c r="I83" s="129">
        <f t="shared" si="5"/>
        <v>1.0544325641059462</v>
      </c>
      <c r="J83" s="129">
        <f t="shared" si="5"/>
        <v>1.2471573640642857</v>
      </c>
      <c r="K83" s="129">
        <f t="shared" si="5"/>
        <v>1.0715415289244168</v>
      </c>
      <c r="L83" s="129">
        <f t="shared" si="5"/>
        <v>0.94641406226035896</v>
      </c>
      <c r="M83" s="129">
        <f t="shared" si="5"/>
        <v>1.1617262218318918</v>
      </c>
      <c r="N83" s="130"/>
      <c r="O83" s="131">
        <f t="shared" si="6"/>
        <v>-0.34</v>
      </c>
      <c r="P83" s="131">
        <f t="shared" si="7"/>
        <v>0.26</v>
      </c>
      <c r="Q83" s="131">
        <f t="shared" si="7"/>
        <v>-7.0000000000000007E-2</v>
      </c>
      <c r="R83" s="131">
        <f t="shared" si="7"/>
        <v>7.0000000000000007E-2</v>
      </c>
      <c r="S83" s="131">
        <f t="shared" si="7"/>
        <v>-0.04</v>
      </c>
      <c r="T83" s="131">
        <f t="shared" si="7"/>
        <v>0.19</v>
      </c>
      <c r="U83" s="131">
        <f t="shared" si="7"/>
        <v>-0.16</v>
      </c>
      <c r="V83" s="131">
        <f t="shared" si="7"/>
        <v>0.15</v>
      </c>
      <c r="W83" s="131">
        <f t="shared" si="7"/>
        <v>0.18</v>
      </c>
      <c r="X83" s="131">
        <f t="shared" si="7"/>
        <v>-0.14000000000000001</v>
      </c>
      <c r="Y83" s="131">
        <f t="shared" si="7"/>
        <v>-0.12</v>
      </c>
      <c r="Z83" s="131">
        <f t="shared" si="7"/>
        <v>0.23</v>
      </c>
    </row>
    <row r="84" spans="1:26" x14ac:dyDescent="0.25">
      <c r="A84" s="128" t="str">
        <f t="shared" si="4"/>
        <v>Кенди бар</v>
      </c>
      <c r="B84" s="129">
        <f t="shared" si="5"/>
        <v>0.5235990486067793</v>
      </c>
      <c r="C84" s="129">
        <f t="shared" si="5"/>
        <v>1.1187805417633747</v>
      </c>
      <c r="D84" s="129">
        <f t="shared" si="5"/>
        <v>0.71647334992257072</v>
      </c>
      <c r="E84" s="129">
        <f t="shared" si="5"/>
        <v>0.90154039332558322</v>
      </c>
      <c r="F84" s="129">
        <f t="shared" si="5"/>
        <v>1.665197007611442</v>
      </c>
      <c r="G84" s="129">
        <f t="shared" si="5"/>
        <v>1.1252272187478749</v>
      </c>
      <c r="H84" s="129">
        <f t="shared" si="5"/>
        <v>0.55927960199221494</v>
      </c>
      <c r="I84" s="129">
        <f t="shared" si="5"/>
        <v>0.89466334597991148</v>
      </c>
      <c r="J84" s="129">
        <f t="shared" si="5"/>
        <v>1.1842997953327463</v>
      </c>
      <c r="K84" s="129">
        <f t="shared" si="5"/>
        <v>1.5297890653038291</v>
      </c>
      <c r="L84" s="129">
        <f t="shared" si="5"/>
        <v>0.78796674098492692</v>
      </c>
      <c r="M84" s="129">
        <f t="shared" si="5"/>
        <v>0.99318389042874833</v>
      </c>
      <c r="N84" s="130"/>
      <c r="O84" s="131">
        <f t="shared" si="6"/>
        <v>-0.47</v>
      </c>
      <c r="P84" s="131">
        <f t="shared" si="7"/>
        <v>1.1399999999999999</v>
      </c>
      <c r="Q84" s="131">
        <f t="shared" si="7"/>
        <v>-0.36</v>
      </c>
      <c r="R84" s="131">
        <f t="shared" si="7"/>
        <v>0.26</v>
      </c>
      <c r="S84" s="131">
        <f t="shared" si="7"/>
        <v>0.85</v>
      </c>
      <c r="T84" s="131">
        <f t="shared" si="7"/>
        <v>-0.32</v>
      </c>
      <c r="U84" s="131">
        <f t="shared" si="7"/>
        <v>-0.5</v>
      </c>
      <c r="V84" s="131">
        <f t="shared" si="7"/>
        <v>0.6</v>
      </c>
      <c r="W84" s="131">
        <f t="shared" si="7"/>
        <v>0.32</v>
      </c>
      <c r="X84" s="131">
        <f t="shared" si="7"/>
        <v>0.28999999999999998</v>
      </c>
      <c r="Y84" s="131">
        <f t="shared" si="7"/>
        <v>-0.48</v>
      </c>
      <c r="Z84" s="131">
        <f t="shared" si="7"/>
        <v>0.26</v>
      </c>
    </row>
    <row r="85" spans="1:26" x14ac:dyDescent="0.25">
      <c r="A85" s="128" t="str">
        <f t="shared" si="4"/>
        <v>Торты заказные</v>
      </c>
      <c r="B85" s="129">
        <f t="shared" si="5"/>
        <v>0.78641003146367006</v>
      </c>
      <c r="C85" s="129">
        <f t="shared" si="5"/>
        <v>0.96447728880799533</v>
      </c>
      <c r="D85" s="129">
        <f t="shared" si="5"/>
        <v>0.91107442042266151</v>
      </c>
      <c r="E85" s="129">
        <f t="shared" si="5"/>
        <v>0.97068963215089787</v>
      </c>
      <c r="F85" s="129">
        <f t="shared" si="5"/>
        <v>0.89092825620407123</v>
      </c>
      <c r="G85" s="129">
        <f t="shared" si="5"/>
        <v>1.1035954304261406</v>
      </c>
      <c r="H85" s="129">
        <f t="shared" si="5"/>
        <v>0.94669605346301033</v>
      </c>
      <c r="I85" s="129">
        <f t="shared" si="5"/>
        <v>1.0725832875106502</v>
      </c>
      <c r="J85" s="129">
        <f t="shared" si="5"/>
        <v>1.2619559905847852</v>
      </c>
      <c r="K85" s="129">
        <f t="shared" si="5"/>
        <v>1.0212564393449974</v>
      </c>
      <c r="L85" s="129">
        <f t="shared" si="5"/>
        <v>0.92806801742957412</v>
      </c>
      <c r="M85" s="129">
        <f t="shared" si="5"/>
        <v>1.142265152191547</v>
      </c>
      <c r="N85" s="130"/>
      <c r="O85" s="131">
        <f t="shared" si="6"/>
        <v>-0.31</v>
      </c>
      <c r="P85" s="131">
        <f t="shared" si="7"/>
        <v>0.23</v>
      </c>
      <c r="Q85" s="131">
        <f t="shared" si="7"/>
        <v>-0.06</v>
      </c>
      <c r="R85" s="131">
        <f t="shared" si="7"/>
        <v>7.0000000000000007E-2</v>
      </c>
      <c r="S85" s="131">
        <f t="shared" si="7"/>
        <v>-0.08</v>
      </c>
      <c r="T85" s="131">
        <f t="shared" si="7"/>
        <v>0.24</v>
      </c>
      <c r="U85" s="131">
        <f t="shared" si="7"/>
        <v>-0.14000000000000001</v>
      </c>
      <c r="V85" s="131">
        <f t="shared" si="7"/>
        <v>0.13</v>
      </c>
      <c r="W85" s="131">
        <f t="shared" si="7"/>
        <v>0.18</v>
      </c>
      <c r="X85" s="131">
        <f t="shared" si="7"/>
        <v>-0.19</v>
      </c>
      <c r="Y85" s="131">
        <f t="shared" si="7"/>
        <v>-0.09</v>
      </c>
      <c r="Z85" s="131">
        <f t="shared" si="7"/>
        <v>0.23</v>
      </c>
    </row>
    <row r="86" spans="1:26" x14ac:dyDescent="0.25">
      <c r="A86" s="128" t="str">
        <f t="shared" si="4"/>
        <v>Кексы</v>
      </c>
      <c r="B86" s="129">
        <f t="shared" si="5"/>
        <v>0.84479205201009788</v>
      </c>
      <c r="C86" s="129">
        <f t="shared" si="5"/>
        <v>0.85414058780165392</v>
      </c>
      <c r="D86" s="129">
        <f t="shared" si="5"/>
        <v>1.6734896913928836</v>
      </c>
      <c r="E86" s="129">
        <f t="shared" si="5"/>
        <v>1.081839964676188</v>
      </c>
      <c r="F86" s="129">
        <f t="shared" si="5"/>
        <v>0.91749993826190235</v>
      </c>
      <c r="G86" s="129">
        <f t="shared" si="5"/>
        <v>0.84464260261876578</v>
      </c>
      <c r="H86" s="129">
        <f t="shared" si="5"/>
        <v>0.82103190628578437</v>
      </c>
      <c r="I86" s="129">
        <f t="shared" si="5"/>
        <v>0.87092822646326873</v>
      </c>
      <c r="J86" s="129">
        <f t="shared" si="5"/>
        <v>0.95334427835766644</v>
      </c>
      <c r="K86" s="129">
        <f t="shared" si="5"/>
        <v>1.0788706542819586</v>
      </c>
      <c r="L86" s="129">
        <f t="shared" si="5"/>
        <v>0.99608707410009312</v>
      </c>
      <c r="M86" s="129">
        <f t="shared" si="5"/>
        <v>1.0633330237497365</v>
      </c>
      <c r="N86" s="130"/>
      <c r="O86" s="131">
        <f t="shared" si="6"/>
        <v>-0.21</v>
      </c>
      <c r="P86" s="131">
        <f t="shared" si="7"/>
        <v>0.01</v>
      </c>
      <c r="Q86" s="131">
        <f t="shared" si="7"/>
        <v>0.96</v>
      </c>
      <c r="R86" s="131">
        <f t="shared" si="7"/>
        <v>-0.35</v>
      </c>
      <c r="S86" s="131">
        <f t="shared" si="7"/>
        <v>-0.15</v>
      </c>
      <c r="T86" s="131">
        <f t="shared" si="7"/>
        <v>-0.08</v>
      </c>
      <c r="U86" s="131">
        <f t="shared" si="7"/>
        <v>-0.03</v>
      </c>
      <c r="V86" s="131">
        <f t="shared" si="7"/>
        <v>0.06</v>
      </c>
      <c r="W86" s="131">
        <f t="shared" si="7"/>
        <v>0.09</v>
      </c>
      <c r="X86" s="131">
        <f t="shared" si="7"/>
        <v>0.13</v>
      </c>
      <c r="Y86" s="131">
        <f t="shared" si="7"/>
        <v>-0.08</v>
      </c>
      <c r="Z86" s="131">
        <f t="shared" si="7"/>
        <v>7.0000000000000007E-2</v>
      </c>
    </row>
    <row r="87" spans="1:26" x14ac:dyDescent="0.25">
      <c r="A87" s="128" t="str">
        <f t="shared" si="4"/>
        <v>Конфеты</v>
      </c>
      <c r="B87" s="129">
        <f t="shared" si="5"/>
        <v>0.65780388884334817</v>
      </c>
      <c r="C87" s="129">
        <f t="shared" si="5"/>
        <v>1.2216909230217019</v>
      </c>
      <c r="D87" s="129">
        <f t="shared" si="5"/>
        <v>1.5526665340477537</v>
      </c>
      <c r="E87" s="129">
        <f t="shared" si="5"/>
        <v>1.0979505595689278</v>
      </c>
      <c r="F87" s="129">
        <f t="shared" si="5"/>
        <v>1.1156924919578983</v>
      </c>
      <c r="G87" s="129">
        <f t="shared" si="5"/>
        <v>0.85070568082963671</v>
      </c>
      <c r="H87" s="129">
        <f t="shared" si="5"/>
        <v>0.88569752269039304</v>
      </c>
      <c r="I87" s="129">
        <f t="shared" si="5"/>
        <v>0.91477313273042316</v>
      </c>
      <c r="J87" s="129">
        <f t="shared" si="5"/>
        <v>0.88336840995347188</v>
      </c>
      <c r="K87" s="129">
        <f t="shared" si="5"/>
        <v>0.89494723966708067</v>
      </c>
      <c r="L87" s="129">
        <f t="shared" si="5"/>
        <v>0.92745977939328605</v>
      </c>
      <c r="M87" s="129">
        <f t="shared" si="5"/>
        <v>0.99724383729607635</v>
      </c>
      <c r="N87" s="130"/>
      <c r="O87" s="131">
        <f t="shared" si="6"/>
        <v>-0.34</v>
      </c>
      <c r="P87" s="131">
        <f t="shared" si="7"/>
        <v>0.86</v>
      </c>
      <c r="Q87" s="131">
        <f t="shared" si="7"/>
        <v>0.27</v>
      </c>
      <c r="R87" s="131">
        <f t="shared" si="7"/>
        <v>-0.28999999999999998</v>
      </c>
      <c r="S87" s="131">
        <f t="shared" si="7"/>
        <v>0.02</v>
      </c>
      <c r="T87" s="131">
        <f t="shared" si="7"/>
        <v>-0.24</v>
      </c>
      <c r="U87" s="131">
        <f t="shared" si="7"/>
        <v>0.04</v>
      </c>
      <c r="V87" s="131">
        <f t="shared" si="7"/>
        <v>0.03</v>
      </c>
      <c r="W87" s="131">
        <f t="shared" si="7"/>
        <v>-0.03</v>
      </c>
      <c r="X87" s="131">
        <f t="shared" si="7"/>
        <v>0.01</v>
      </c>
      <c r="Y87" s="131">
        <f t="shared" si="7"/>
        <v>0.04</v>
      </c>
      <c r="Z87" s="131">
        <f t="shared" si="7"/>
        <v>0.08</v>
      </c>
    </row>
    <row r="88" spans="1:26" x14ac:dyDescent="0.25">
      <c r="A88" s="128" t="str">
        <f t="shared" si="4"/>
        <v>Пасха</v>
      </c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30"/>
      <c r="O88" s="131" t="str">
        <f>IFERROR(B88/M88,"")</f>
        <v/>
      </c>
      <c r="P88" s="131" t="str">
        <f t="shared" ref="P88:Z89" si="8">IFERROR(C88/B88,"")</f>
        <v/>
      </c>
      <c r="Q88" s="131" t="str">
        <f t="shared" si="8"/>
        <v/>
      </c>
      <c r="R88" s="131" t="str">
        <f t="shared" si="8"/>
        <v/>
      </c>
      <c r="S88" s="131" t="str">
        <f t="shared" si="8"/>
        <v/>
      </c>
      <c r="T88" s="131" t="str">
        <f t="shared" si="8"/>
        <v/>
      </c>
      <c r="U88" s="131" t="str">
        <f t="shared" si="8"/>
        <v/>
      </c>
      <c r="V88" s="131" t="str">
        <f t="shared" si="8"/>
        <v/>
      </c>
      <c r="W88" s="131" t="str">
        <f t="shared" si="8"/>
        <v/>
      </c>
      <c r="X88" s="131" t="str">
        <f t="shared" si="8"/>
        <v/>
      </c>
      <c r="Y88" s="131" t="str">
        <f t="shared" si="8"/>
        <v/>
      </c>
      <c r="Z88" s="131" t="str">
        <f t="shared" si="8"/>
        <v/>
      </c>
    </row>
    <row r="89" spans="1:26" x14ac:dyDescent="0.25">
      <c r="A89" s="128" t="str">
        <f t="shared" si="4"/>
        <v>Наборы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30"/>
      <c r="O89" s="131" t="str">
        <f>IFERROR(B89/M89,"")</f>
        <v/>
      </c>
      <c r="P89" s="131" t="str">
        <f t="shared" si="8"/>
        <v/>
      </c>
      <c r="Q89" s="131" t="str">
        <f t="shared" si="8"/>
        <v/>
      </c>
      <c r="R89" s="131" t="str">
        <f t="shared" si="8"/>
        <v/>
      </c>
      <c r="S89" s="131" t="str">
        <f t="shared" si="8"/>
        <v/>
      </c>
      <c r="T89" s="131" t="str">
        <f t="shared" si="8"/>
        <v/>
      </c>
      <c r="U89" s="131" t="str">
        <f t="shared" si="8"/>
        <v/>
      </c>
      <c r="V89" s="131" t="str">
        <f t="shared" si="8"/>
        <v/>
      </c>
      <c r="W89" s="131" t="str">
        <f t="shared" si="8"/>
        <v/>
      </c>
      <c r="X89" s="131" t="str">
        <f t="shared" si="8"/>
        <v/>
      </c>
      <c r="Y89" s="131" t="str">
        <f t="shared" si="8"/>
        <v/>
      </c>
      <c r="Z89" s="131" t="str">
        <f t="shared" si="8"/>
        <v/>
      </c>
    </row>
    <row r="90" spans="1:26" x14ac:dyDescent="0.25">
      <c r="A90" s="128" t="str">
        <f t="shared" si="4"/>
        <v>Печенье, зефир, мармелад</v>
      </c>
      <c r="B90" s="129">
        <f t="shared" ref="B90:M94" si="9">B16/$O16</f>
        <v>0.99868491990619601</v>
      </c>
      <c r="C90" s="129">
        <f t="shared" si="9"/>
        <v>0.93136534507093982</v>
      </c>
      <c r="D90" s="129">
        <f t="shared" si="9"/>
        <v>1.05747093429098</v>
      </c>
      <c r="E90" s="129">
        <f t="shared" si="9"/>
        <v>0.82608314446708508</v>
      </c>
      <c r="F90" s="129">
        <f t="shared" si="9"/>
        <v>0.99085455839368886</v>
      </c>
      <c r="G90" s="129">
        <f t="shared" si="9"/>
        <v>0.97400677241528466</v>
      </c>
      <c r="H90" s="129">
        <f t="shared" si="9"/>
        <v>0.92848132950014994</v>
      </c>
      <c r="I90" s="129">
        <f t="shared" si="9"/>
        <v>1.0271609377315469</v>
      </c>
      <c r="J90" s="129">
        <f t="shared" si="9"/>
        <v>1.076956496299482</v>
      </c>
      <c r="K90" s="129">
        <f t="shared" si="9"/>
        <v>1.2685241648190224</v>
      </c>
      <c r="L90" s="129">
        <f t="shared" si="9"/>
        <v>1.0337217543219805</v>
      </c>
      <c r="M90" s="129">
        <f t="shared" si="9"/>
        <v>0.88668964278364437</v>
      </c>
      <c r="N90" s="130"/>
      <c r="O90" s="131">
        <f>IFERROR(ROUND(B90/M90-1,2),"")</f>
        <v>0.13</v>
      </c>
      <c r="P90" s="131">
        <f t="shared" ref="P90:Z94" si="10">IFERROR(ROUND(C90/B90-1,2),"")</f>
        <v>-7.0000000000000007E-2</v>
      </c>
      <c r="Q90" s="131">
        <f t="shared" si="10"/>
        <v>0.14000000000000001</v>
      </c>
      <c r="R90" s="131">
        <f t="shared" si="10"/>
        <v>-0.22</v>
      </c>
      <c r="S90" s="131">
        <f t="shared" si="10"/>
        <v>0.2</v>
      </c>
      <c r="T90" s="131">
        <f t="shared" si="10"/>
        <v>-0.02</v>
      </c>
      <c r="U90" s="131">
        <f t="shared" si="10"/>
        <v>-0.05</v>
      </c>
      <c r="V90" s="131">
        <f t="shared" si="10"/>
        <v>0.11</v>
      </c>
      <c r="W90" s="131">
        <f t="shared" si="10"/>
        <v>0.05</v>
      </c>
      <c r="X90" s="131">
        <f t="shared" si="10"/>
        <v>0.18</v>
      </c>
      <c r="Y90" s="131">
        <f t="shared" si="10"/>
        <v>-0.19</v>
      </c>
      <c r="Z90" s="131">
        <f t="shared" si="10"/>
        <v>-0.14000000000000001</v>
      </c>
    </row>
    <row r="91" spans="1:26" x14ac:dyDescent="0.25">
      <c r="A91" s="128" t="str">
        <f t="shared" si="4"/>
        <v>Печенье, зефир, мармелад весовые</v>
      </c>
      <c r="B91" s="129">
        <f t="shared" si="9"/>
        <v>1.1836307072618206</v>
      </c>
      <c r="C91" s="129">
        <f t="shared" si="9"/>
        <v>1.0358267458398422</v>
      </c>
      <c r="D91" s="129">
        <f t="shared" si="9"/>
        <v>1.1694965546054954</v>
      </c>
      <c r="E91" s="129">
        <f t="shared" si="9"/>
        <v>0.96671397715348184</v>
      </c>
      <c r="F91" s="129">
        <f t="shared" si="9"/>
        <v>1.0183516491830937</v>
      </c>
      <c r="G91" s="129">
        <f t="shared" si="9"/>
        <v>0.91647677613100775</v>
      </c>
      <c r="H91" s="129">
        <f t="shared" si="9"/>
        <v>0.83540595869030776</v>
      </c>
      <c r="I91" s="129">
        <f t="shared" si="9"/>
        <v>0.82383073602303092</v>
      </c>
      <c r="J91" s="129">
        <f t="shared" si="9"/>
        <v>0.88653078938360763</v>
      </c>
      <c r="K91" s="129">
        <f t="shared" si="9"/>
        <v>1.066581580011708</v>
      </c>
      <c r="L91" s="129">
        <f t="shared" si="9"/>
        <v>1.0542732675170914</v>
      </c>
      <c r="M91" s="129">
        <f t="shared" si="9"/>
        <v>1.0428812581995126</v>
      </c>
      <c r="N91" s="130"/>
      <c r="O91" s="131">
        <f>IFERROR(ROUND(B91/M91-1,2),"")</f>
        <v>0.13</v>
      </c>
      <c r="P91" s="131">
        <f t="shared" si="10"/>
        <v>-0.12</v>
      </c>
      <c r="Q91" s="131">
        <f t="shared" si="10"/>
        <v>0.13</v>
      </c>
      <c r="R91" s="131">
        <f t="shared" si="10"/>
        <v>-0.17</v>
      </c>
      <c r="S91" s="131">
        <f t="shared" si="10"/>
        <v>0.05</v>
      </c>
      <c r="T91" s="131">
        <f t="shared" si="10"/>
        <v>-0.1</v>
      </c>
      <c r="U91" s="131">
        <f t="shared" si="10"/>
        <v>-0.09</v>
      </c>
      <c r="V91" s="131">
        <f t="shared" si="10"/>
        <v>-0.01</v>
      </c>
      <c r="W91" s="131">
        <f t="shared" si="10"/>
        <v>0.08</v>
      </c>
      <c r="X91" s="131">
        <f t="shared" si="10"/>
        <v>0.2</v>
      </c>
      <c r="Y91" s="131">
        <f t="shared" si="10"/>
        <v>-0.01</v>
      </c>
      <c r="Z91" s="131">
        <f t="shared" si="10"/>
        <v>-0.01</v>
      </c>
    </row>
    <row r="92" spans="1:26" x14ac:dyDescent="0.25">
      <c r="A92" s="128" t="str">
        <f t="shared" si="4"/>
        <v>Печенье, зефир, мармелад тематические</v>
      </c>
      <c r="B92" s="129">
        <f t="shared" si="9"/>
        <v>0.86150015911012245</v>
      </c>
      <c r="C92" s="129">
        <f t="shared" si="9"/>
        <v>0.8239309676104013</v>
      </c>
      <c r="D92" s="129">
        <f t="shared" si="9"/>
        <v>1.0016842599081761</v>
      </c>
      <c r="E92" s="129">
        <f t="shared" si="9"/>
        <v>0.67497754006891764</v>
      </c>
      <c r="F92" s="129">
        <f t="shared" si="9"/>
        <v>0.9259199165035622</v>
      </c>
      <c r="G92" s="129">
        <f t="shared" si="9"/>
        <v>1.0763727084819443</v>
      </c>
      <c r="H92" s="129">
        <f t="shared" si="9"/>
        <v>1.037432041471084</v>
      </c>
      <c r="I92" s="129">
        <f t="shared" si="9"/>
        <v>1.3498627375750791</v>
      </c>
      <c r="J92" s="129">
        <f t="shared" si="9"/>
        <v>1.2363110506769561</v>
      </c>
      <c r="K92" s="129">
        <f t="shared" si="9"/>
        <v>1.3598567892368654</v>
      </c>
      <c r="L92" s="129">
        <f t="shared" si="9"/>
        <v>0.93825782691341009</v>
      </c>
      <c r="M92" s="129">
        <f t="shared" si="9"/>
        <v>0.71389400244348045</v>
      </c>
      <c r="N92" s="130"/>
      <c r="O92" s="131">
        <f>IFERROR(ROUND(B92/M92-1,2),"")</f>
        <v>0.21</v>
      </c>
      <c r="P92" s="131">
        <f t="shared" si="10"/>
        <v>-0.04</v>
      </c>
      <c r="Q92" s="131">
        <f t="shared" si="10"/>
        <v>0.22</v>
      </c>
      <c r="R92" s="131">
        <f t="shared" si="10"/>
        <v>-0.33</v>
      </c>
      <c r="S92" s="131">
        <f t="shared" si="10"/>
        <v>0.37</v>
      </c>
      <c r="T92" s="131">
        <f t="shared" si="10"/>
        <v>0.16</v>
      </c>
      <c r="U92" s="131">
        <f t="shared" si="10"/>
        <v>-0.04</v>
      </c>
      <c r="V92" s="131">
        <f t="shared" si="10"/>
        <v>0.3</v>
      </c>
      <c r="W92" s="131">
        <f t="shared" si="10"/>
        <v>-0.08</v>
      </c>
      <c r="X92" s="131">
        <f t="shared" si="10"/>
        <v>0.1</v>
      </c>
      <c r="Y92" s="131">
        <f t="shared" si="10"/>
        <v>-0.31</v>
      </c>
      <c r="Z92" s="131">
        <f t="shared" si="10"/>
        <v>-0.24</v>
      </c>
    </row>
    <row r="93" spans="1:26" x14ac:dyDescent="0.25">
      <c r="A93" s="128" t="str">
        <f t="shared" si="4"/>
        <v>Печенье, зефир, мармелад штучные</v>
      </c>
      <c r="B93" s="129">
        <f t="shared" si="9"/>
        <v>0.98892693086236128</v>
      </c>
      <c r="C93" s="129">
        <f t="shared" si="9"/>
        <v>0.95590531289593972</v>
      </c>
      <c r="D93" s="129">
        <f t="shared" si="9"/>
        <v>1.0241581885486268</v>
      </c>
      <c r="E93" s="129">
        <f t="shared" si="9"/>
        <v>0.86561446429549627</v>
      </c>
      <c r="F93" s="129">
        <f t="shared" si="9"/>
        <v>1.0340940278861557</v>
      </c>
      <c r="G93" s="129">
        <f t="shared" si="9"/>
        <v>0.9171460553196874</v>
      </c>
      <c r="H93" s="129">
        <f t="shared" si="9"/>
        <v>0.89334467742837476</v>
      </c>
      <c r="I93" s="129">
        <f t="shared" si="9"/>
        <v>0.86542297164126025</v>
      </c>
      <c r="J93" s="129">
        <f t="shared" si="9"/>
        <v>1.0688368953518623</v>
      </c>
      <c r="K93" s="129">
        <f t="shared" si="9"/>
        <v>1.3378377459481154</v>
      </c>
      <c r="L93" s="129">
        <f t="shared" si="9"/>
        <v>1.1131304753630986</v>
      </c>
      <c r="M93" s="129">
        <f t="shared" si="9"/>
        <v>0.93558225445901888</v>
      </c>
      <c r="N93" s="130"/>
      <c r="O93" s="131">
        <f>IFERROR(ROUND(B93/M93-1,2),"")</f>
        <v>0.06</v>
      </c>
      <c r="P93" s="131">
        <f t="shared" si="10"/>
        <v>-0.03</v>
      </c>
      <c r="Q93" s="131">
        <f t="shared" si="10"/>
        <v>7.0000000000000007E-2</v>
      </c>
      <c r="R93" s="131">
        <f t="shared" si="10"/>
        <v>-0.15</v>
      </c>
      <c r="S93" s="131">
        <f t="shared" si="10"/>
        <v>0.19</v>
      </c>
      <c r="T93" s="131">
        <f t="shared" si="10"/>
        <v>-0.11</v>
      </c>
      <c r="U93" s="131">
        <f t="shared" si="10"/>
        <v>-0.03</v>
      </c>
      <c r="V93" s="131">
        <f t="shared" si="10"/>
        <v>-0.03</v>
      </c>
      <c r="W93" s="131">
        <f t="shared" si="10"/>
        <v>0.24</v>
      </c>
      <c r="X93" s="131">
        <f t="shared" si="10"/>
        <v>0.25</v>
      </c>
      <c r="Y93" s="131">
        <f t="shared" si="10"/>
        <v>-0.17</v>
      </c>
      <c r="Z93" s="131">
        <f t="shared" si="10"/>
        <v>-0.16</v>
      </c>
    </row>
    <row r="94" spans="1:26" x14ac:dyDescent="0.25">
      <c r="A94" s="128" t="str">
        <f t="shared" si="4"/>
        <v>Пирожные</v>
      </c>
      <c r="B94" s="129">
        <f t="shared" si="9"/>
        <v>1.0675348537120968</v>
      </c>
      <c r="C94" s="129">
        <f t="shared" si="9"/>
        <v>0.99605751717776192</v>
      </c>
      <c r="D94" s="129">
        <f t="shared" si="9"/>
        <v>1.062310440338825</v>
      </c>
      <c r="E94" s="129">
        <f t="shared" si="9"/>
        <v>0.85916285953671678</v>
      </c>
      <c r="F94" s="129">
        <f t="shared" si="9"/>
        <v>0.93632294722288911</v>
      </c>
      <c r="G94" s="129">
        <f t="shared" si="9"/>
        <v>0.82969047838623444</v>
      </c>
      <c r="H94" s="129">
        <f t="shared" si="9"/>
        <v>0.85440507231369078</v>
      </c>
      <c r="I94" s="129">
        <f t="shared" si="9"/>
        <v>0.87069732534350719</v>
      </c>
      <c r="J94" s="129">
        <f t="shared" si="9"/>
        <v>0.99857530696251595</v>
      </c>
      <c r="K94" s="129">
        <f t="shared" si="9"/>
        <v>1.1765199202688872</v>
      </c>
      <c r="L94" s="129">
        <f t="shared" si="9"/>
        <v>1.1105059402352704</v>
      </c>
      <c r="M94" s="129">
        <f t="shared" si="9"/>
        <v>1.2382173385016029</v>
      </c>
      <c r="N94" s="130"/>
      <c r="O94" s="131">
        <f>IFERROR(ROUND(B94/M94-1,2),"")</f>
        <v>-0.14000000000000001</v>
      </c>
      <c r="P94" s="131">
        <f t="shared" si="10"/>
        <v>-7.0000000000000007E-2</v>
      </c>
      <c r="Q94" s="131">
        <f t="shared" si="10"/>
        <v>7.0000000000000007E-2</v>
      </c>
      <c r="R94" s="131">
        <f t="shared" si="10"/>
        <v>-0.19</v>
      </c>
      <c r="S94" s="131">
        <f t="shared" si="10"/>
        <v>0.09</v>
      </c>
      <c r="T94" s="131">
        <f t="shared" si="10"/>
        <v>-0.11</v>
      </c>
      <c r="U94" s="131">
        <f t="shared" si="10"/>
        <v>0.03</v>
      </c>
      <c r="V94" s="131">
        <f t="shared" si="10"/>
        <v>0.02</v>
      </c>
      <c r="W94" s="131">
        <f t="shared" si="10"/>
        <v>0.15</v>
      </c>
      <c r="X94" s="131">
        <f t="shared" si="10"/>
        <v>0.18</v>
      </c>
      <c r="Y94" s="131">
        <f t="shared" si="10"/>
        <v>-0.06</v>
      </c>
      <c r="Z94" s="131">
        <f t="shared" si="10"/>
        <v>0.12</v>
      </c>
    </row>
    <row r="95" spans="1:26" x14ac:dyDescent="0.25">
      <c r="A95" s="128" t="str">
        <f t="shared" si="4"/>
        <v>Полуфабрикаты из слоенного теста замороженные</v>
      </c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30"/>
      <c r="O95" s="131" t="str">
        <f>IFERROR(B95/M95,"")</f>
        <v/>
      </c>
      <c r="P95" s="131" t="str">
        <f t="shared" ref="P95:Z97" si="11">IFERROR(C95/B95,"")</f>
        <v/>
      </c>
      <c r="Q95" s="131" t="str">
        <f t="shared" si="11"/>
        <v/>
      </c>
      <c r="R95" s="131" t="str">
        <f t="shared" si="11"/>
        <v/>
      </c>
      <c r="S95" s="131" t="str">
        <f t="shared" si="11"/>
        <v/>
      </c>
      <c r="T95" s="131" t="str">
        <f t="shared" si="11"/>
        <v/>
      </c>
      <c r="U95" s="131" t="str">
        <f t="shared" si="11"/>
        <v/>
      </c>
      <c r="V95" s="131" t="str">
        <f t="shared" si="11"/>
        <v/>
      </c>
      <c r="W95" s="131" t="str">
        <f t="shared" si="11"/>
        <v/>
      </c>
      <c r="X95" s="131" t="str">
        <f t="shared" si="11"/>
        <v/>
      </c>
      <c r="Y95" s="131" t="str">
        <f t="shared" si="11"/>
        <v/>
      </c>
      <c r="Z95" s="131" t="str">
        <f t="shared" si="11"/>
        <v/>
      </c>
    </row>
    <row r="96" spans="1:26" x14ac:dyDescent="0.25">
      <c r="A96" s="128" t="str">
        <f t="shared" si="4"/>
        <v>Праздники 14 и 23 февраля, 8 марта</v>
      </c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30"/>
      <c r="O96" s="131" t="str">
        <f>IFERROR(B96/M96,"")</f>
        <v/>
      </c>
      <c r="P96" s="131" t="str">
        <f t="shared" si="11"/>
        <v/>
      </c>
      <c r="Q96" s="131" t="str">
        <f t="shared" si="11"/>
        <v/>
      </c>
      <c r="R96" s="131" t="str">
        <f t="shared" si="11"/>
        <v/>
      </c>
      <c r="S96" s="131" t="str">
        <f t="shared" si="11"/>
        <v/>
      </c>
      <c r="T96" s="131" t="str">
        <f t="shared" si="11"/>
        <v/>
      </c>
      <c r="U96" s="131" t="str">
        <f t="shared" si="11"/>
        <v/>
      </c>
      <c r="V96" s="131" t="str">
        <f t="shared" si="11"/>
        <v/>
      </c>
      <c r="W96" s="131" t="str">
        <f t="shared" si="11"/>
        <v/>
      </c>
      <c r="X96" s="131" t="str">
        <f t="shared" si="11"/>
        <v/>
      </c>
      <c r="Y96" s="131" t="str">
        <f t="shared" si="11"/>
        <v/>
      </c>
      <c r="Z96" s="131" t="str">
        <f t="shared" si="11"/>
        <v/>
      </c>
    </row>
    <row r="97" spans="1:26" x14ac:dyDescent="0.25">
      <c r="A97" s="128" t="str">
        <f t="shared" si="4"/>
        <v>Сезонное предложение</v>
      </c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30"/>
      <c r="O97" s="131" t="str">
        <f>IFERROR(B97/M97,"")</f>
        <v/>
      </c>
      <c r="P97" s="131" t="str">
        <f t="shared" si="11"/>
        <v/>
      </c>
      <c r="Q97" s="131" t="str">
        <f t="shared" si="11"/>
        <v/>
      </c>
      <c r="R97" s="131" t="str">
        <f t="shared" si="11"/>
        <v/>
      </c>
      <c r="S97" s="131" t="str">
        <f t="shared" si="11"/>
        <v/>
      </c>
      <c r="T97" s="131" t="str">
        <f t="shared" si="11"/>
        <v/>
      </c>
      <c r="U97" s="131" t="str">
        <f t="shared" si="11"/>
        <v/>
      </c>
      <c r="V97" s="131" t="str">
        <f t="shared" si="11"/>
        <v/>
      </c>
      <c r="W97" s="131" t="str">
        <f t="shared" si="11"/>
        <v/>
      </c>
      <c r="X97" s="131" t="str">
        <f t="shared" si="11"/>
        <v/>
      </c>
      <c r="Y97" s="131" t="str">
        <f t="shared" si="11"/>
        <v/>
      </c>
      <c r="Z97" s="131" t="str">
        <f t="shared" si="11"/>
        <v/>
      </c>
    </row>
    <row r="98" spans="1:26" x14ac:dyDescent="0.25">
      <c r="A98" s="128" t="str">
        <f t="shared" si="4"/>
        <v>Торты бисквитные</v>
      </c>
      <c r="B98" s="129">
        <f t="shared" ref="B98:M99" si="12">B24/$O24</f>
        <v>1.0315838119933993</v>
      </c>
      <c r="C98" s="129">
        <f t="shared" si="12"/>
        <v>0.95307873136780297</v>
      </c>
      <c r="D98" s="129">
        <f t="shared" si="12"/>
        <v>1.0683744503329473</v>
      </c>
      <c r="E98" s="129">
        <f t="shared" si="12"/>
        <v>0.77554201701770642</v>
      </c>
      <c r="F98" s="129">
        <f t="shared" si="12"/>
        <v>0.9097224039233528</v>
      </c>
      <c r="G98" s="129">
        <f t="shared" si="12"/>
        <v>0.8888933117740998</v>
      </c>
      <c r="H98" s="129">
        <f t="shared" si="12"/>
        <v>0.8831099980534699</v>
      </c>
      <c r="I98" s="129">
        <f t="shared" si="12"/>
        <v>0.91272249451714449</v>
      </c>
      <c r="J98" s="129">
        <f t="shared" si="12"/>
        <v>1.0426752134257056</v>
      </c>
      <c r="K98" s="129">
        <f t="shared" si="12"/>
        <v>1.142386275873829</v>
      </c>
      <c r="L98" s="129">
        <f t="shared" si="12"/>
        <v>1.0524852803294011</v>
      </c>
      <c r="M98" s="129">
        <f t="shared" si="12"/>
        <v>1.3394260113911418</v>
      </c>
      <c r="N98" s="130"/>
      <c r="O98" s="131">
        <f>IFERROR(ROUND(B98/M98-1,2),"")</f>
        <v>-0.23</v>
      </c>
      <c r="P98" s="131">
        <f t="shared" ref="P98:Z99" si="13">IFERROR(ROUND(C98/B98-1,2),"")</f>
        <v>-0.08</v>
      </c>
      <c r="Q98" s="131">
        <f t="shared" si="13"/>
        <v>0.12</v>
      </c>
      <c r="R98" s="131">
        <f t="shared" si="13"/>
        <v>-0.27</v>
      </c>
      <c r="S98" s="131">
        <f t="shared" si="13"/>
        <v>0.17</v>
      </c>
      <c r="T98" s="131">
        <f t="shared" si="13"/>
        <v>-0.02</v>
      </c>
      <c r="U98" s="131">
        <f t="shared" si="13"/>
        <v>-0.01</v>
      </c>
      <c r="V98" s="131">
        <f t="shared" si="13"/>
        <v>0.03</v>
      </c>
      <c r="W98" s="131">
        <f t="shared" si="13"/>
        <v>0.14000000000000001</v>
      </c>
      <c r="X98" s="131">
        <f t="shared" si="13"/>
        <v>0.1</v>
      </c>
      <c r="Y98" s="131">
        <f t="shared" si="13"/>
        <v>-0.08</v>
      </c>
      <c r="Z98" s="131">
        <f t="shared" si="13"/>
        <v>0.27</v>
      </c>
    </row>
    <row r="99" spans="1:26" x14ac:dyDescent="0.25">
      <c r="A99" s="128" t="str">
        <f t="shared" si="4"/>
        <v>Торты песочные</v>
      </c>
      <c r="B99" s="129">
        <f t="shared" si="12"/>
        <v>0.75813150666414841</v>
      </c>
      <c r="C99" s="129">
        <f t="shared" si="12"/>
        <v>0.79320376951954197</v>
      </c>
      <c r="D99" s="129">
        <f t="shared" si="12"/>
        <v>1.1154460087651459</v>
      </c>
      <c r="E99" s="129">
        <f t="shared" si="12"/>
        <v>0.9560690244495591</v>
      </c>
      <c r="F99" s="129">
        <f t="shared" si="12"/>
        <v>0.98508971022968728</v>
      </c>
      <c r="G99" s="129">
        <f t="shared" si="12"/>
        <v>0.92153464078959146</v>
      </c>
      <c r="H99" s="129">
        <f t="shared" si="12"/>
        <v>1.0487359008191692</v>
      </c>
      <c r="I99" s="129">
        <f t="shared" si="12"/>
        <v>1.0552959820970766</v>
      </c>
      <c r="J99" s="129">
        <f t="shared" si="12"/>
        <v>1.140673901868503</v>
      </c>
      <c r="K99" s="129">
        <f t="shared" si="12"/>
        <v>1.1368796071947642</v>
      </c>
      <c r="L99" s="129">
        <f t="shared" si="12"/>
        <v>1.0760340492574823</v>
      </c>
      <c r="M99" s="129">
        <f t="shared" si="12"/>
        <v>1.0129058983453307</v>
      </c>
      <c r="N99" s="130"/>
      <c r="O99" s="131">
        <f>IFERROR(ROUND(B99/M99-1,2),"")</f>
        <v>-0.25</v>
      </c>
      <c r="P99" s="131">
        <f t="shared" si="13"/>
        <v>0.05</v>
      </c>
      <c r="Q99" s="131">
        <f t="shared" si="13"/>
        <v>0.41</v>
      </c>
      <c r="R99" s="131">
        <f t="shared" si="13"/>
        <v>-0.14000000000000001</v>
      </c>
      <c r="S99" s="131">
        <f t="shared" si="13"/>
        <v>0.03</v>
      </c>
      <c r="T99" s="131">
        <f t="shared" si="13"/>
        <v>-0.06</v>
      </c>
      <c r="U99" s="131">
        <f t="shared" si="13"/>
        <v>0.14000000000000001</v>
      </c>
      <c r="V99" s="131">
        <f t="shared" si="13"/>
        <v>0.01</v>
      </c>
      <c r="W99" s="131">
        <f t="shared" si="13"/>
        <v>0.08</v>
      </c>
      <c r="X99" s="131">
        <f t="shared" si="13"/>
        <v>0</v>
      </c>
      <c r="Y99" s="131">
        <f t="shared" si="13"/>
        <v>-0.05</v>
      </c>
      <c r="Z99" s="131">
        <f t="shared" si="13"/>
        <v>-0.06</v>
      </c>
    </row>
    <row r="100" spans="1:26" x14ac:dyDescent="0.25">
      <c r="A100" s="128" t="str">
        <f t="shared" si="4"/>
        <v>Украшения из шоколада для нового года</v>
      </c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30"/>
      <c r="O100" s="131" t="str">
        <f>IFERROR(B100/M100,"")</f>
        <v/>
      </c>
      <c r="P100" s="131" t="str">
        <f t="shared" ref="P100:Z102" si="14">IFERROR(C100/B100,"")</f>
        <v/>
      </c>
      <c r="Q100" s="131" t="str">
        <f t="shared" si="14"/>
        <v/>
      </c>
      <c r="R100" s="131" t="str">
        <f t="shared" si="14"/>
        <v/>
      </c>
      <c r="S100" s="131" t="str">
        <f t="shared" si="14"/>
        <v/>
      </c>
      <c r="T100" s="131" t="str">
        <f t="shared" si="14"/>
        <v/>
      </c>
      <c r="U100" s="131" t="str">
        <f t="shared" si="14"/>
        <v/>
      </c>
      <c r="V100" s="131" t="str">
        <f t="shared" si="14"/>
        <v/>
      </c>
      <c r="W100" s="131" t="str">
        <f t="shared" si="14"/>
        <v/>
      </c>
      <c r="X100" s="131" t="str">
        <f t="shared" si="14"/>
        <v/>
      </c>
      <c r="Y100" s="131" t="str">
        <f t="shared" si="14"/>
        <v/>
      </c>
      <c r="Z100" s="131" t="str">
        <f t="shared" si="14"/>
        <v/>
      </c>
    </row>
    <row r="101" spans="1:26" x14ac:dyDescent="0.25">
      <c r="A101" s="128" t="str">
        <f t="shared" si="4"/>
        <v>Торты, печенья и кексы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30"/>
      <c r="O101" s="131" t="str">
        <f>IFERROR(B101/M101,"")</f>
        <v/>
      </c>
      <c r="P101" s="131" t="str">
        <f t="shared" si="14"/>
        <v/>
      </c>
      <c r="Q101" s="131" t="str">
        <f t="shared" si="14"/>
        <v/>
      </c>
      <c r="R101" s="131" t="str">
        <f t="shared" si="14"/>
        <v/>
      </c>
      <c r="S101" s="131" t="str">
        <f t="shared" si="14"/>
        <v/>
      </c>
      <c r="T101" s="131" t="str">
        <f t="shared" si="14"/>
        <v/>
      </c>
      <c r="U101" s="131" t="str">
        <f t="shared" si="14"/>
        <v/>
      </c>
      <c r="V101" s="131" t="str">
        <f t="shared" si="14"/>
        <v/>
      </c>
      <c r="W101" s="131" t="str">
        <f t="shared" si="14"/>
        <v/>
      </c>
      <c r="X101" s="131" t="str">
        <f t="shared" si="14"/>
        <v/>
      </c>
      <c r="Y101" s="131" t="str">
        <f t="shared" si="14"/>
        <v/>
      </c>
      <c r="Z101" s="131" t="str">
        <f t="shared" si="14"/>
        <v/>
      </c>
    </row>
    <row r="102" spans="1:26" x14ac:dyDescent="0.25">
      <c r="A102" s="128" t="str">
        <f t="shared" si="4"/>
        <v>Фирменная продукция в упаковке</v>
      </c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30"/>
      <c r="O102" s="131" t="str">
        <f>IFERROR(B102/M102,"")</f>
        <v/>
      </c>
      <c r="P102" s="131" t="str">
        <f t="shared" si="14"/>
        <v/>
      </c>
      <c r="Q102" s="131" t="str">
        <f t="shared" si="14"/>
        <v/>
      </c>
      <c r="R102" s="131" t="str">
        <f t="shared" si="14"/>
        <v/>
      </c>
      <c r="S102" s="131" t="str">
        <f t="shared" si="14"/>
        <v/>
      </c>
      <c r="T102" s="131" t="str">
        <f t="shared" si="14"/>
        <v/>
      </c>
      <c r="U102" s="131" t="str">
        <f t="shared" si="14"/>
        <v/>
      </c>
      <c r="V102" s="131" t="str">
        <f t="shared" si="14"/>
        <v/>
      </c>
      <c r="W102" s="131" t="str">
        <f t="shared" si="14"/>
        <v/>
      </c>
      <c r="X102" s="131" t="str">
        <f t="shared" si="14"/>
        <v/>
      </c>
      <c r="Y102" s="131" t="str">
        <f t="shared" si="14"/>
        <v/>
      </c>
      <c r="Z102" s="131" t="str">
        <f t="shared" si="14"/>
        <v/>
      </c>
    </row>
    <row r="103" spans="1:26" x14ac:dyDescent="0.25">
      <c r="A103" s="124" t="str">
        <f t="shared" si="4"/>
        <v>Кулинарные изделия</v>
      </c>
      <c r="B103" s="125">
        <f t="shared" ref="B103:M109" si="15">B29/$O29</f>
        <v>0.87494235332166248</v>
      </c>
      <c r="C103" s="125">
        <f t="shared" si="15"/>
        <v>0.89075841254544053</v>
      </c>
      <c r="D103" s="125">
        <f t="shared" si="15"/>
        <v>1.0642720398655623</v>
      </c>
      <c r="E103" s="125">
        <f t="shared" si="15"/>
        <v>1.0318845466941444</v>
      </c>
      <c r="F103" s="125">
        <f t="shared" si="15"/>
        <v>0.98862455801268234</v>
      </c>
      <c r="G103" s="125">
        <f t="shared" si="15"/>
        <v>0.90592948491350656</v>
      </c>
      <c r="H103" s="125">
        <f t="shared" si="15"/>
        <v>0.91538697567600902</v>
      </c>
      <c r="I103" s="125">
        <f t="shared" si="15"/>
        <v>0.98065776464694621</v>
      </c>
      <c r="J103" s="125">
        <f t="shared" si="15"/>
        <v>1.0486046827300681</v>
      </c>
      <c r="K103" s="125">
        <f t="shared" si="15"/>
        <v>1.128234426330267</v>
      </c>
      <c r="L103" s="125">
        <f t="shared" si="15"/>
        <v>1.0249260855662738</v>
      </c>
      <c r="M103" s="125">
        <f t="shared" si="15"/>
        <v>1.1457786696974366</v>
      </c>
      <c r="N103" s="126"/>
      <c r="O103" s="127">
        <f t="shared" ref="O103:O109" si="16">IFERROR(ROUND(B103/M103-1,2),"")</f>
        <v>-0.24</v>
      </c>
      <c r="P103" s="127">
        <f t="shared" ref="P103:Z109" si="17">IFERROR(ROUND(C103/B103-1,2),"")</f>
        <v>0.02</v>
      </c>
      <c r="Q103" s="127">
        <f t="shared" si="17"/>
        <v>0.19</v>
      </c>
      <c r="R103" s="127">
        <f t="shared" si="17"/>
        <v>-0.03</v>
      </c>
      <c r="S103" s="127">
        <f t="shared" si="17"/>
        <v>-0.04</v>
      </c>
      <c r="T103" s="127">
        <f t="shared" si="17"/>
        <v>-0.08</v>
      </c>
      <c r="U103" s="127">
        <f t="shared" si="17"/>
        <v>0.01</v>
      </c>
      <c r="V103" s="127">
        <f t="shared" si="17"/>
        <v>7.0000000000000007E-2</v>
      </c>
      <c r="W103" s="127">
        <f t="shared" si="17"/>
        <v>7.0000000000000007E-2</v>
      </c>
      <c r="X103" s="127">
        <f t="shared" si="17"/>
        <v>0.08</v>
      </c>
      <c r="Y103" s="127">
        <f t="shared" si="17"/>
        <v>-0.09</v>
      </c>
      <c r="Z103" s="127">
        <f t="shared" si="17"/>
        <v>0.12</v>
      </c>
    </row>
    <row r="104" spans="1:26" x14ac:dyDescent="0.25">
      <c r="A104" s="128" t="str">
        <f t="shared" si="4"/>
        <v>Гастрономические блюда</v>
      </c>
      <c r="B104" s="129">
        <f t="shared" si="15"/>
        <v>0.92950245937087794</v>
      </c>
      <c r="C104" s="129">
        <f t="shared" si="15"/>
        <v>1.1082423007808639</v>
      </c>
      <c r="D104" s="129">
        <f t="shared" si="15"/>
        <v>0.97598054718020555</v>
      </c>
      <c r="E104" s="129">
        <f t="shared" si="15"/>
        <v>0.91409462713737255</v>
      </c>
      <c r="F104" s="129">
        <f t="shared" si="15"/>
        <v>0.94211536814582908</v>
      </c>
      <c r="G104" s="129">
        <f t="shared" si="15"/>
        <v>0.89506131404906253</v>
      </c>
      <c r="H104" s="129">
        <f t="shared" si="15"/>
        <v>0.81282821812121475</v>
      </c>
      <c r="I104" s="129">
        <f t="shared" si="15"/>
        <v>0.86188005128789291</v>
      </c>
      <c r="J104" s="129">
        <f t="shared" si="15"/>
        <v>1.0262556235994691</v>
      </c>
      <c r="K104" s="129">
        <f t="shared" si="15"/>
        <v>1.1364112803330644</v>
      </c>
      <c r="L104" s="129">
        <f t="shared" si="15"/>
        <v>1.1204486579479811</v>
      </c>
      <c r="M104" s="129">
        <f t="shared" si="15"/>
        <v>1.2771795520461664</v>
      </c>
      <c r="N104" s="130"/>
      <c r="O104" s="131">
        <f t="shared" si="16"/>
        <v>-0.27</v>
      </c>
      <c r="P104" s="131">
        <f t="shared" si="17"/>
        <v>0.19</v>
      </c>
      <c r="Q104" s="131">
        <f t="shared" si="17"/>
        <v>-0.12</v>
      </c>
      <c r="R104" s="131">
        <f t="shared" si="17"/>
        <v>-0.06</v>
      </c>
      <c r="S104" s="131">
        <f t="shared" si="17"/>
        <v>0.03</v>
      </c>
      <c r="T104" s="131">
        <f t="shared" si="17"/>
        <v>-0.05</v>
      </c>
      <c r="U104" s="131">
        <f t="shared" si="17"/>
        <v>-0.09</v>
      </c>
      <c r="V104" s="131">
        <f t="shared" si="17"/>
        <v>0.06</v>
      </c>
      <c r="W104" s="131">
        <f t="shared" si="17"/>
        <v>0.19</v>
      </c>
      <c r="X104" s="131">
        <f t="shared" si="17"/>
        <v>0.11</v>
      </c>
      <c r="Y104" s="131">
        <f t="shared" si="17"/>
        <v>-0.01</v>
      </c>
      <c r="Z104" s="131">
        <f t="shared" si="17"/>
        <v>0.14000000000000001</v>
      </c>
    </row>
    <row r="105" spans="1:26" x14ac:dyDescent="0.25">
      <c r="A105" s="128" t="str">
        <f t="shared" si="4"/>
        <v>Замороженные блюда</v>
      </c>
      <c r="B105" s="129">
        <f t="shared" si="15"/>
        <v>1.073842617043113</v>
      </c>
      <c r="C105" s="129">
        <f t="shared" si="15"/>
        <v>0.97846550960210221</v>
      </c>
      <c r="D105" s="129">
        <f t="shared" si="15"/>
        <v>1.0198416947152971</v>
      </c>
      <c r="E105" s="129">
        <f t="shared" si="15"/>
        <v>1.0115360556499506</v>
      </c>
      <c r="F105" s="129">
        <f t="shared" si="15"/>
        <v>0.95717917853500101</v>
      </c>
      <c r="G105" s="129">
        <f t="shared" si="15"/>
        <v>0.86721518139739229</v>
      </c>
      <c r="H105" s="129">
        <f t="shared" si="15"/>
        <v>0.86397136914943218</v>
      </c>
      <c r="I105" s="129">
        <f t="shared" si="15"/>
        <v>0.88527248582868412</v>
      </c>
      <c r="J105" s="129">
        <f t="shared" si="15"/>
        <v>1.0425009860373888</v>
      </c>
      <c r="K105" s="129">
        <f t="shared" si="15"/>
        <v>1.1113874485953072</v>
      </c>
      <c r="L105" s="129">
        <f t="shared" si="15"/>
        <v>1.0351100202412542</v>
      </c>
      <c r="M105" s="129">
        <f t="shared" si="15"/>
        <v>1.153677453205076</v>
      </c>
      <c r="N105" s="130"/>
      <c r="O105" s="131">
        <f t="shared" si="16"/>
        <v>-7.0000000000000007E-2</v>
      </c>
      <c r="P105" s="131">
        <f t="shared" si="17"/>
        <v>-0.09</v>
      </c>
      <c r="Q105" s="131">
        <f t="shared" si="17"/>
        <v>0.04</v>
      </c>
      <c r="R105" s="131">
        <f t="shared" si="17"/>
        <v>-0.01</v>
      </c>
      <c r="S105" s="131">
        <f t="shared" si="17"/>
        <v>-0.05</v>
      </c>
      <c r="T105" s="131">
        <f t="shared" si="17"/>
        <v>-0.09</v>
      </c>
      <c r="U105" s="131">
        <f t="shared" si="17"/>
        <v>0</v>
      </c>
      <c r="V105" s="131">
        <f t="shared" si="17"/>
        <v>0.02</v>
      </c>
      <c r="W105" s="131">
        <f t="shared" si="17"/>
        <v>0.18</v>
      </c>
      <c r="X105" s="131">
        <f t="shared" si="17"/>
        <v>7.0000000000000007E-2</v>
      </c>
      <c r="Y105" s="131">
        <f t="shared" si="17"/>
        <v>-7.0000000000000007E-2</v>
      </c>
      <c r="Z105" s="131">
        <f t="shared" si="17"/>
        <v>0.11</v>
      </c>
    </row>
    <row r="106" spans="1:26" x14ac:dyDescent="0.25">
      <c r="A106" s="128" t="str">
        <f t="shared" si="4"/>
        <v>Консервация реализация</v>
      </c>
      <c r="B106" s="129">
        <f t="shared" si="15"/>
        <v>1.727678753354827</v>
      </c>
      <c r="C106" s="129">
        <f t="shared" si="15"/>
        <v>1.6600746091226288</v>
      </c>
      <c r="D106" s="129">
        <f t="shared" si="15"/>
        <v>1.4707583099335075</v>
      </c>
      <c r="E106" s="129">
        <f t="shared" si="15"/>
        <v>0.96250320240850273</v>
      </c>
      <c r="F106" s="129">
        <f t="shared" si="15"/>
        <v>0.72324546816696511</v>
      </c>
      <c r="G106" s="129">
        <f t="shared" si="15"/>
        <v>0.59154845091877972</v>
      </c>
      <c r="H106" s="129">
        <f t="shared" si="15"/>
        <v>0.59617935624988105</v>
      </c>
      <c r="I106" s="129">
        <f t="shared" si="15"/>
        <v>0.7599339870442462</v>
      </c>
      <c r="J106" s="129">
        <f t="shared" si="15"/>
        <v>0.71551382205285874</v>
      </c>
      <c r="K106" s="129">
        <f t="shared" si="15"/>
        <v>0.68700141557699224</v>
      </c>
      <c r="L106" s="129">
        <f t="shared" si="15"/>
        <v>0.90198132073797266</v>
      </c>
      <c r="M106" s="129">
        <f t="shared" si="15"/>
        <v>1.2035813044328387</v>
      </c>
      <c r="N106" s="130"/>
      <c r="O106" s="131">
        <f t="shared" si="16"/>
        <v>0.44</v>
      </c>
      <c r="P106" s="131">
        <f t="shared" si="17"/>
        <v>-0.04</v>
      </c>
      <c r="Q106" s="131">
        <f t="shared" si="17"/>
        <v>-0.11</v>
      </c>
      <c r="R106" s="131">
        <f t="shared" si="17"/>
        <v>-0.35</v>
      </c>
      <c r="S106" s="131">
        <f t="shared" si="17"/>
        <v>-0.25</v>
      </c>
      <c r="T106" s="131">
        <f t="shared" si="17"/>
        <v>-0.18</v>
      </c>
      <c r="U106" s="131">
        <f t="shared" si="17"/>
        <v>0.01</v>
      </c>
      <c r="V106" s="131">
        <f t="shared" si="17"/>
        <v>0.27</v>
      </c>
      <c r="W106" s="131">
        <f t="shared" si="17"/>
        <v>-0.06</v>
      </c>
      <c r="X106" s="131">
        <f t="shared" si="17"/>
        <v>-0.04</v>
      </c>
      <c r="Y106" s="131">
        <f t="shared" si="17"/>
        <v>0.31</v>
      </c>
      <c r="Z106" s="131">
        <f t="shared" si="17"/>
        <v>0.33</v>
      </c>
    </row>
    <row r="107" spans="1:26" x14ac:dyDescent="0.25">
      <c r="A107" s="128" t="str">
        <f t="shared" si="4"/>
        <v>Варенья и джемы</v>
      </c>
      <c r="B107" s="129">
        <f t="shared" si="15"/>
        <v>1.8050120387479804</v>
      </c>
      <c r="C107" s="129">
        <f t="shared" si="15"/>
        <v>2.2402055633741358</v>
      </c>
      <c r="D107" s="129">
        <f t="shared" si="15"/>
        <v>1.6875878410494989</v>
      </c>
      <c r="E107" s="129">
        <f t="shared" si="15"/>
        <v>0.88960482573527611</v>
      </c>
      <c r="F107" s="129">
        <f t="shared" si="15"/>
        <v>0.55129001732778804</v>
      </c>
      <c r="G107" s="129">
        <f t="shared" si="15"/>
        <v>0.38123268182490821</v>
      </c>
      <c r="H107" s="129">
        <f t="shared" si="15"/>
        <v>0.40544741420728025</v>
      </c>
      <c r="I107" s="129">
        <f t="shared" si="15"/>
        <v>0.43305111631704807</v>
      </c>
      <c r="J107" s="129">
        <f t="shared" si="15"/>
        <v>0.61916997908492599</v>
      </c>
      <c r="K107" s="129">
        <f t="shared" si="15"/>
        <v>0.79177199173380353</v>
      </c>
      <c r="L107" s="129">
        <f t="shared" si="15"/>
        <v>0.87148214265728641</v>
      </c>
      <c r="M107" s="129">
        <f t="shared" si="15"/>
        <v>1.3241443879400703</v>
      </c>
      <c r="N107" s="130"/>
      <c r="O107" s="131">
        <f t="shared" si="16"/>
        <v>0.36</v>
      </c>
      <c r="P107" s="131">
        <f t="shared" si="17"/>
        <v>0.24</v>
      </c>
      <c r="Q107" s="131">
        <f t="shared" si="17"/>
        <v>-0.25</v>
      </c>
      <c r="R107" s="131">
        <f t="shared" si="17"/>
        <v>-0.47</v>
      </c>
      <c r="S107" s="131">
        <f t="shared" si="17"/>
        <v>-0.38</v>
      </c>
      <c r="T107" s="131">
        <f t="shared" si="17"/>
        <v>-0.31</v>
      </c>
      <c r="U107" s="131">
        <f t="shared" si="17"/>
        <v>0.06</v>
      </c>
      <c r="V107" s="131">
        <f t="shared" si="17"/>
        <v>7.0000000000000007E-2</v>
      </c>
      <c r="W107" s="131">
        <f t="shared" si="17"/>
        <v>0.43</v>
      </c>
      <c r="X107" s="131">
        <f t="shared" si="17"/>
        <v>0.28000000000000003</v>
      </c>
      <c r="Y107" s="131">
        <f t="shared" si="17"/>
        <v>0.1</v>
      </c>
      <c r="Z107" s="131">
        <f t="shared" si="17"/>
        <v>0.52</v>
      </c>
    </row>
    <row r="108" spans="1:26" x14ac:dyDescent="0.25">
      <c r="A108" s="128" t="str">
        <f t="shared" si="4"/>
        <v>Компоты</v>
      </c>
      <c r="B108" s="129">
        <f t="shared" si="15"/>
        <v>1.716135223710507</v>
      </c>
      <c r="C108" s="129">
        <f t="shared" si="15"/>
        <v>1.2861848360249406</v>
      </c>
      <c r="D108" s="129">
        <f t="shared" si="15"/>
        <v>1.3130981098225101</v>
      </c>
      <c r="E108" s="129">
        <f t="shared" si="15"/>
        <v>0.98824024269465882</v>
      </c>
      <c r="F108" s="129">
        <f t="shared" si="15"/>
        <v>0.81389262121185779</v>
      </c>
      <c r="G108" s="129">
        <f t="shared" si="15"/>
        <v>0.72846374296588257</v>
      </c>
      <c r="H108" s="129">
        <f t="shared" si="15"/>
        <v>0.74601546590491319</v>
      </c>
      <c r="I108" s="129">
        <f t="shared" si="15"/>
        <v>0.96860076755735247</v>
      </c>
      <c r="J108" s="129">
        <f t="shared" si="15"/>
        <v>0.79835094050503574</v>
      </c>
      <c r="K108" s="129">
        <f t="shared" si="15"/>
        <v>0.64258256355011822</v>
      </c>
      <c r="L108" s="129">
        <f t="shared" si="15"/>
        <v>0.91863161100834367</v>
      </c>
      <c r="M108" s="129">
        <f t="shared" si="15"/>
        <v>1.079803875043879</v>
      </c>
      <c r="N108" s="130"/>
      <c r="O108" s="131">
        <f t="shared" si="16"/>
        <v>0.59</v>
      </c>
      <c r="P108" s="131">
        <f t="shared" si="17"/>
        <v>-0.25</v>
      </c>
      <c r="Q108" s="131">
        <f t="shared" si="17"/>
        <v>0.02</v>
      </c>
      <c r="R108" s="131">
        <f t="shared" si="17"/>
        <v>-0.25</v>
      </c>
      <c r="S108" s="131">
        <f t="shared" si="17"/>
        <v>-0.18</v>
      </c>
      <c r="T108" s="131">
        <f t="shared" si="17"/>
        <v>-0.1</v>
      </c>
      <c r="U108" s="131">
        <f t="shared" si="17"/>
        <v>0.02</v>
      </c>
      <c r="V108" s="131">
        <f t="shared" si="17"/>
        <v>0.3</v>
      </c>
      <c r="W108" s="131">
        <f t="shared" si="17"/>
        <v>-0.18</v>
      </c>
      <c r="X108" s="131">
        <f t="shared" si="17"/>
        <v>-0.2</v>
      </c>
      <c r="Y108" s="131">
        <f t="shared" si="17"/>
        <v>0.43</v>
      </c>
      <c r="Z108" s="131">
        <f t="shared" si="17"/>
        <v>0.18</v>
      </c>
    </row>
    <row r="109" spans="1:26" x14ac:dyDescent="0.25">
      <c r="A109" s="128" t="str">
        <f t="shared" si="4"/>
        <v>Маринады</v>
      </c>
      <c r="B109" s="129">
        <f t="shared" si="15"/>
        <v>1.3996669713099674</v>
      </c>
      <c r="C109" s="129">
        <f t="shared" si="15"/>
        <v>2.0787484045382061</v>
      </c>
      <c r="D109" s="129">
        <f t="shared" si="15"/>
        <v>1.7816002179563761</v>
      </c>
      <c r="E109" s="129">
        <f t="shared" si="15"/>
        <v>1.1276592149063911</v>
      </c>
      <c r="F109" s="129">
        <f t="shared" si="15"/>
        <v>0.80620843683805765</v>
      </c>
      <c r="G109" s="129">
        <f t="shared" si="15"/>
        <v>0.4287995191271024</v>
      </c>
      <c r="H109" s="129">
        <f t="shared" si="15"/>
        <v>0.18902483994012187</v>
      </c>
      <c r="I109" s="129">
        <f t="shared" si="15"/>
        <v>0.54841653718042416</v>
      </c>
      <c r="J109" s="129">
        <f t="shared" si="15"/>
        <v>0.43850263967420711</v>
      </c>
      <c r="K109" s="129">
        <f t="shared" si="15"/>
        <v>0.52979227886518188</v>
      </c>
      <c r="L109" s="129">
        <f t="shared" si="15"/>
        <v>0.91277025450429083</v>
      </c>
      <c r="M109" s="129">
        <f t="shared" si="15"/>
        <v>1.7588106851596741</v>
      </c>
      <c r="N109" s="130"/>
      <c r="O109" s="131">
        <f t="shared" si="16"/>
        <v>-0.2</v>
      </c>
      <c r="P109" s="131">
        <f t="shared" si="17"/>
        <v>0.49</v>
      </c>
      <c r="Q109" s="131">
        <f t="shared" si="17"/>
        <v>-0.14000000000000001</v>
      </c>
      <c r="R109" s="131">
        <f t="shared" si="17"/>
        <v>-0.37</v>
      </c>
      <c r="S109" s="131">
        <f t="shared" si="17"/>
        <v>-0.28999999999999998</v>
      </c>
      <c r="T109" s="131">
        <f t="shared" si="17"/>
        <v>-0.47</v>
      </c>
      <c r="U109" s="131">
        <f t="shared" si="17"/>
        <v>-0.56000000000000005</v>
      </c>
      <c r="V109" s="131">
        <f t="shared" si="17"/>
        <v>1.9</v>
      </c>
      <c r="W109" s="131">
        <f t="shared" si="17"/>
        <v>-0.2</v>
      </c>
      <c r="X109" s="131">
        <f t="shared" si="17"/>
        <v>0.21</v>
      </c>
      <c r="Y109" s="131">
        <f t="shared" si="17"/>
        <v>0.72</v>
      </c>
      <c r="Z109" s="131">
        <f t="shared" si="17"/>
        <v>0.93</v>
      </c>
    </row>
    <row r="110" spans="1:26" x14ac:dyDescent="0.25">
      <c r="A110" s="128" t="str">
        <f t="shared" si="4"/>
        <v>Кулинарные изделия на заказ</v>
      </c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30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</row>
    <row r="111" spans="1:26" x14ac:dyDescent="0.25">
      <c r="A111" s="128" t="str">
        <f t="shared" si="4"/>
        <v>Банкетные блюда</v>
      </c>
      <c r="B111" s="129">
        <f t="shared" ref="B111:M120" si="18">B37/$O37</f>
        <v>0.83982291816013099</v>
      </c>
      <c r="C111" s="129">
        <f t="shared" si="18"/>
        <v>0.72713669051115681</v>
      </c>
      <c r="D111" s="129">
        <f t="shared" si="18"/>
        <v>0.47406143961480424</v>
      </c>
      <c r="E111" s="129">
        <f t="shared" si="18"/>
        <v>0.75356568519046385</v>
      </c>
      <c r="F111" s="129">
        <f t="shared" si="18"/>
        <v>0.50846484980406093</v>
      </c>
      <c r="G111" s="129">
        <f t="shared" si="18"/>
        <v>0.19784946958538155</v>
      </c>
      <c r="H111" s="129">
        <f t="shared" si="18"/>
        <v>0.24511355246874961</v>
      </c>
      <c r="I111" s="129">
        <f t="shared" si="18"/>
        <v>9.7833802298223332E-2</v>
      </c>
      <c r="J111" s="129">
        <f t="shared" si="18"/>
        <v>0.17266143677708659</v>
      </c>
      <c r="K111" s="129">
        <f t="shared" si="18"/>
        <v>0.3288307494593401</v>
      </c>
      <c r="L111" s="129">
        <f t="shared" si="18"/>
        <v>0.33780415521205137</v>
      </c>
      <c r="M111" s="129">
        <f t="shared" si="18"/>
        <v>7.3168552509185503</v>
      </c>
      <c r="N111" s="130"/>
      <c r="O111" s="131">
        <f t="shared" ref="O111:O146" si="19">IFERROR(ROUND(B111/M111-1,2),"")</f>
        <v>-0.89</v>
      </c>
      <c r="P111" s="131">
        <f t="shared" ref="P111:Z134" si="20">IFERROR(ROUND(C111/B111-1,2),"")</f>
        <v>-0.13</v>
      </c>
      <c r="Q111" s="131">
        <f t="shared" si="20"/>
        <v>-0.35</v>
      </c>
      <c r="R111" s="131">
        <f t="shared" si="20"/>
        <v>0.59</v>
      </c>
      <c r="S111" s="131">
        <f t="shared" si="20"/>
        <v>-0.33</v>
      </c>
      <c r="T111" s="131">
        <f t="shared" si="20"/>
        <v>-0.61</v>
      </c>
      <c r="U111" s="131">
        <f t="shared" si="20"/>
        <v>0.24</v>
      </c>
      <c r="V111" s="131">
        <f t="shared" si="20"/>
        <v>-0.6</v>
      </c>
      <c r="W111" s="131">
        <f t="shared" si="20"/>
        <v>0.76</v>
      </c>
      <c r="X111" s="131">
        <f t="shared" si="20"/>
        <v>0.9</v>
      </c>
      <c r="Y111" s="131">
        <f t="shared" si="20"/>
        <v>0.03</v>
      </c>
      <c r="Z111" s="131">
        <f t="shared" si="20"/>
        <v>20.66</v>
      </c>
    </row>
    <row r="112" spans="1:26" x14ac:dyDescent="0.25">
      <c r="A112" s="128" t="str">
        <f t="shared" si="4"/>
        <v>Блюда на спец.заказ</v>
      </c>
      <c r="B112" s="129">
        <f t="shared" si="18"/>
        <v>1.800658004640235</v>
      </c>
      <c r="C112" s="129">
        <f t="shared" si="18"/>
        <v>1.6400790591915759</v>
      </c>
      <c r="D112" s="129">
        <f t="shared" si="18"/>
        <v>0.98308625324290222</v>
      </c>
      <c r="E112" s="129">
        <f t="shared" si="18"/>
        <v>1.5962439617849284</v>
      </c>
      <c r="F112" s="129">
        <f t="shared" si="18"/>
        <v>0.11827245347465248</v>
      </c>
      <c r="G112" s="129">
        <f t="shared" si="18"/>
        <v>0.72972668653454409</v>
      </c>
      <c r="H112" s="129">
        <f t="shared" si="18"/>
        <v>0.44766732670328341</v>
      </c>
      <c r="I112" s="129">
        <f t="shared" si="18"/>
        <v>0.28049457438837938</v>
      </c>
      <c r="J112" s="129">
        <f t="shared" si="18"/>
        <v>0.81440901550218359</v>
      </c>
      <c r="K112" s="129">
        <f t="shared" si="18"/>
        <v>1.5717289898464557</v>
      </c>
      <c r="L112" s="129">
        <f t="shared" si="18"/>
        <v>0.50303731085465009</v>
      </c>
      <c r="M112" s="129">
        <f t="shared" si="18"/>
        <v>1.514596363836209</v>
      </c>
      <c r="N112" s="130"/>
      <c r="O112" s="131">
        <f t="shared" si="19"/>
        <v>0.19</v>
      </c>
      <c r="P112" s="131">
        <f t="shared" si="20"/>
        <v>-0.09</v>
      </c>
      <c r="Q112" s="131">
        <f t="shared" si="20"/>
        <v>-0.4</v>
      </c>
      <c r="R112" s="131">
        <f t="shared" si="20"/>
        <v>0.62</v>
      </c>
      <c r="S112" s="131">
        <f t="shared" si="20"/>
        <v>-0.93</v>
      </c>
      <c r="T112" s="131">
        <f t="shared" si="20"/>
        <v>5.17</v>
      </c>
      <c r="U112" s="131">
        <f t="shared" si="20"/>
        <v>-0.39</v>
      </c>
      <c r="V112" s="131">
        <f t="shared" si="20"/>
        <v>-0.37</v>
      </c>
      <c r="W112" s="131">
        <f t="shared" si="20"/>
        <v>1.9</v>
      </c>
      <c r="X112" s="131">
        <f t="shared" si="20"/>
        <v>0.93</v>
      </c>
      <c r="Y112" s="131">
        <f t="shared" si="20"/>
        <v>-0.68</v>
      </c>
      <c r="Z112" s="131">
        <f t="shared" si="20"/>
        <v>2.0099999999999998</v>
      </c>
    </row>
    <row r="113" spans="1:26" x14ac:dyDescent="0.25">
      <c r="A113" s="128" t="str">
        <f t="shared" si="4"/>
        <v>Канапе</v>
      </c>
      <c r="B113" s="129">
        <f t="shared" si="18"/>
        <v>0.82953760734067106</v>
      </c>
      <c r="C113" s="129">
        <f t="shared" si="18"/>
        <v>1.2817286304485687</v>
      </c>
      <c r="D113" s="129">
        <f t="shared" si="18"/>
        <v>0.98911139513437429</v>
      </c>
      <c r="E113" s="129">
        <f t="shared" si="18"/>
        <v>1.2910796161966023</v>
      </c>
      <c r="F113" s="129">
        <f t="shared" si="18"/>
        <v>1.0203610917506321</v>
      </c>
      <c r="G113" s="129">
        <f t="shared" si="18"/>
        <v>0.94863549677680326</v>
      </c>
      <c r="H113" s="129">
        <f t="shared" si="18"/>
        <v>0.82498916727349658</v>
      </c>
      <c r="I113" s="129">
        <f t="shared" si="18"/>
        <v>0.64508516576270558</v>
      </c>
      <c r="J113" s="129">
        <f t="shared" si="18"/>
        <v>1.1244148196654635</v>
      </c>
      <c r="K113" s="129">
        <f t="shared" si="18"/>
        <v>0.49427802164112206</v>
      </c>
      <c r="L113" s="129">
        <f t="shared" si="18"/>
        <v>0.98639091925879885</v>
      </c>
      <c r="M113" s="129">
        <f t="shared" si="18"/>
        <v>1.5643880687507619</v>
      </c>
      <c r="N113" s="130"/>
      <c r="O113" s="131">
        <f t="shared" si="19"/>
        <v>-0.47</v>
      </c>
      <c r="P113" s="131">
        <f t="shared" si="20"/>
        <v>0.55000000000000004</v>
      </c>
      <c r="Q113" s="131">
        <f t="shared" si="20"/>
        <v>-0.23</v>
      </c>
      <c r="R113" s="131">
        <f t="shared" si="20"/>
        <v>0.31</v>
      </c>
      <c r="S113" s="131">
        <f t="shared" si="20"/>
        <v>-0.21</v>
      </c>
      <c r="T113" s="131">
        <f t="shared" si="20"/>
        <v>-7.0000000000000007E-2</v>
      </c>
      <c r="U113" s="131">
        <f t="shared" si="20"/>
        <v>-0.13</v>
      </c>
      <c r="V113" s="131">
        <f t="shared" si="20"/>
        <v>-0.22</v>
      </c>
      <c r="W113" s="131">
        <f t="shared" si="20"/>
        <v>0.74</v>
      </c>
      <c r="X113" s="131">
        <f t="shared" si="20"/>
        <v>-0.56000000000000005</v>
      </c>
      <c r="Y113" s="131">
        <f t="shared" si="20"/>
        <v>1</v>
      </c>
      <c r="Z113" s="131">
        <f t="shared" si="20"/>
        <v>0.59</v>
      </c>
    </row>
    <row r="114" spans="1:26" x14ac:dyDescent="0.25">
      <c r="A114" s="128" t="str">
        <f t="shared" si="4"/>
        <v>Макаронные изделия</v>
      </c>
      <c r="B114" s="129">
        <f t="shared" si="18"/>
        <v>1.4335176017883069</v>
      </c>
      <c r="C114" s="129">
        <f t="shared" si="18"/>
        <v>1.0771779515182827</v>
      </c>
      <c r="D114" s="129">
        <f t="shared" si="18"/>
        <v>1.2002069961930102</v>
      </c>
      <c r="E114" s="129">
        <f t="shared" si="18"/>
        <v>1.1115486338152372</v>
      </c>
      <c r="F114" s="129">
        <f t="shared" si="18"/>
        <v>1.2090112175655126</v>
      </c>
      <c r="G114" s="129">
        <f t="shared" si="18"/>
        <v>1.0619544520057274</v>
      </c>
      <c r="H114" s="129">
        <f t="shared" si="18"/>
        <v>1.2275949076364296</v>
      </c>
      <c r="I114" s="129">
        <f t="shared" si="18"/>
        <v>0.98694525071963701</v>
      </c>
      <c r="J114" s="129">
        <f t="shared" si="18"/>
        <v>0.54994960590154562</v>
      </c>
      <c r="K114" s="129">
        <f t="shared" si="18"/>
        <v>0.33266494666795848</v>
      </c>
      <c r="L114" s="129">
        <f t="shared" si="18"/>
        <v>0.69037080704831777</v>
      </c>
      <c r="M114" s="129">
        <f t="shared" si="18"/>
        <v>1.1190576291400314</v>
      </c>
      <c r="N114" s="130"/>
      <c r="O114" s="131">
        <f t="shared" si="19"/>
        <v>0.28000000000000003</v>
      </c>
      <c r="P114" s="131">
        <f t="shared" si="20"/>
        <v>-0.25</v>
      </c>
      <c r="Q114" s="131">
        <f t="shared" si="20"/>
        <v>0.11</v>
      </c>
      <c r="R114" s="131">
        <f t="shared" si="20"/>
        <v>-7.0000000000000007E-2</v>
      </c>
      <c r="S114" s="131">
        <f t="shared" si="20"/>
        <v>0.09</v>
      </c>
      <c r="T114" s="131">
        <f t="shared" si="20"/>
        <v>-0.12</v>
      </c>
      <c r="U114" s="131">
        <f t="shared" si="20"/>
        <v>0.16</v>
      </c>
      <c r="V114" s="131">
        <f t="shared" si="20"/>
        <v>-0.2</v>
      </c>
      <c r="W114" s="131">
        <f t="shared" si="20"/>
        <v>-0.44</v>
      </c>
      <c r="X114" s="131">
        <f t="shared" si="20"/>
        <v>-0.4</v>
      </c>
      <c r="Y114" s="131">
        <f t="shared" si="20"/>
        <v>1.08</v>
      </c>
      <c r="Z114" s="131">
        <f t="shared" si="20"/>
        <v>0.62</v>
      </c>
    </row>
    <row r="115" spans="1:26" x14ac:dyDescent="0.25">
      <c r="A115" s="128" t="str">
        <f t="shared" si="4"/>
        <v>Мясные блюда</v>
      </c>
      <c r="B115" s="129">
        <f t="shared" si="18"/>
        <v>0.85404718982855365</v>
      </c>
      <c r="C115" s="129">
        <f t="shared" si="18"/>
        <v>0.82977082794423795</v>
      </c>
      <c r="D115" s="129">
        <f t="shared" si="18"/>
        <v>1.0345370523446658</v>
      </c>
      <c r="E115" s="129">
        <f t="shared" si="18"/>
        <v>1.0023787222915692</v>
      </c>
      <c r="F115" s="129">
        <f t="shared" si="18"/>
        <v>1.0114388794517337</v>
      </c>
      <c r="G115" s="129">
        <f t="shared" si="18"/>
        <v>0.93040998828095844</v>
      </c>
      <c r="H115" s="129">
        <f t="shared" si="18"/>
        <v>0.96150727518378698</v>
      </c>
      <c r="I115" s="129">
        <f t="shared" si="18"/>
        <v>1.0346794016119336</v>
      </c>
      <c r="J115" s="129">
        <f t="shared" si="18"/>
        <v>1.0646755861531572</v>
      </c>
      <c r="K115" s="129">
        <f t="shared" si="18"/>
        <v>1.2094735692698975</v>
      </c>
      <c r="L115" s="129">
        <f t="shared" si="18"/>
        <v>1.0294795560071983</v>
      </c>
      <c r="M115" s="129">
        <f t="shared" si="18"/>
        <v>1.0376019516323072</v>
      </c>
      <c r="N115" s="130"/>
      <c r="O115" s="131">
        <f t="shared" si="19"/>
        <v>-0.18</v>
      </c>
      <c r="P115" s="131">
        <f t="shared" si="20"/>
        <v>-0.03</v>
      </c>
      <c r="Q115" s="131">
        <f t="shared" si="20"/>
        <v>0.25</v>
      </c>
      <c r="R115" s="131">
        <f t="shared" si="20"/>
        <v>-0.03</v>
      </c>
      <c r="S115" s="131">
        <f t="shared" si="20"/>
        <v>0.01</v>
      </c>
      <c r="T115" s="131">
        <f t="shared" si="20"/>
        <v>-0.08</v>
      </c>
      <c r="U115" s="131">
        <f t="shared" si="20"/>
        <v>0.03</v>
      </c>
      <c r="V115" s="131">
        <f t="shared" si="20"/>
        <v>0.08</v>
      </c>
      <c r="W115" s="131">
        <f t="shared" si="20"/>
        <v>0.03</v>
      </c>
      <c r="X115" s="131">
        <f t="shared" si="20"/>
        <v>0.14000000000000001</v>
      </c>
      <c r="Y115" s="131">
        <f t="shared" si="20"/>
        <v>-0.15</v>
      </c>
      <c r="Z115" s="131">
        <f t="shared" si="20"/>
        <v>0.01</v>
      </c>
    </row>
    <row r="116" spans="1:26" x14ac:dyDescent="0.25">
      <c r="A116" s="128" t="str">
        <f t="shared" si="4"/>
        <v>Напитки</v>
      </c>
      <c r="B116" s="129">
        <f t="shared" si="18"/>
        <v>0.60543119072403728</v>
      </c>
      <c r="C116" s="129">
        <f t="shared" si="18"/>
        <v>0.61503762123013039</v>
      </c>
      <c r="D116" s="129">
        <f t="shared" si="18"/>
        <v>0.94161887374798015</v>
      </c>
      <c r="E116" s="129">
        <f t="shared" si="18"/>
        <v>1.0434551121309319</v>
      </c>
      <c r="F116" s="129">
        <f t="shared" si="18"/>
        <v>1.1116996746992707</v>
      </c>
      <c r="G116" s="129">
        <f t="shared" si="18"/>
        <v>1.0707832082296505</v>
      </c>
      <c r="H116" s="129">
        <f t="shared" si="18"/>
        <v>1.2062981515245446</v>
      </c>
      <c r="I116" s="129">
        <f t="shared" si="18"/>
        <v>1.3256115039229439</v>
      </c>
      <c r="J116" s="129">
        <f t="shared" si="18"/>
        <v>1.3325283701384449</v>
      </c>
      <c r="K116" s="129">
        <f t="shared" si="18"/>
        <v>1.036236625161391</v>
      </c>
      <c r="L116" s="129">
        <f t="shared" si="18"/>
        <v>0.81104635965622496</v>
      </c>
      <c r="M116" s="129">
        <f t="shared" si="18"/>
        <v>0.90025330883444887</v>
      </c>
      <c r="N116" s="130"/>
      <c r="O116" s="131">
        <f t="shared" si="19"/>
        <v>-0.33</v>
      </c>
      <c r="P116" s="131">
        <f t="shared" si="20"/>
        <v>0.02</v>
      </c>
      <c r="Q116" s="131">
        <f t="shared" si="20"/>
        <v>0.53</v>
      </c>
      <c r="R116" s="131">
        <f t="shared" si="20"/>
        <v>0.11</v>
      </c>
      <c r="S116" s="131">
        <f t="shared" si="20"/>
        <v>7.0000000000000007E-2</v>
      </c>
      <c r="T116" s="131">
        <f t="shared" si="20"/>
        <v>-0.04</v>
      </c>
      <c r="U116" s="131">
        <f t="shared" si="20"/>
        <v>0.13</v>
      </c>
      <c r="V116" s="131">
        <f t="shared" si="20"/>
        <v>0.1</v>
      </c>
      <c r="W116" s="131">
        <f t="shared" si="20"/>
        <v>0.01</v>
      </c>
      <c r="X116" s="131">
        <f t="shared" si="20"/>
        <v>-0.22</v>
      </c>
      <c r="Y116" s="131">
        <f t="shared" si="20"/>
        <v>-0.22</v>
      </c>
      <c r="Z116" s="131">
        <f t="shared" si="20"/>
        <v>0.11</v>
      </c>
    </row>
    <row r="117" spans="1:26" x14ac:dyDescent="0.25">
      <c r="A117" s="128" t="str">
        <f t="shared" si="4"/>
        <v>Овощные блюда</v>
      </c>
      <c r="B117" s="129">
        <f t="shared" si="18"/>
        <v>0.72925136801845558</v>
      </c>
      <c r="C117" s="129">
        <f t="shared" si="18"/>
        <v>0.76712459889468343</v>
      </c>
      <c r="D117" s="129">
        <f t="shared" si="18"/>
        <v>1.5433430001752186</v>
      </c>
      <c r="E117" s="129">
        <f t="shared" si="18"/>
        <v>1.351737850090257</v>
      </c>
      <c r="F117" s="129">
        <f t="shared" si="18"/>
        <v>1.0893344568446741</v>
      </c>
      <c r="G117" s="129">
        <f t="shared" si="18"/>
        <v>0.8274732938098599</v>
      </c>
      <c r="H117" s="129">
        <f t="shared" si="18"/>
        <v>1.0705566221155829</v>
      </c>
      <c r="I117" s="129">
        <f t="shared" si="18"/>
        <v>1.1086475313317263</v>
      </c>
      <c r="J117" s="129">
        <f t="shared" si="18"/>
        <v>1.0397771882850646</v>
      </c>
      <c r="K117" s="129">
        <f t="shared" si="18"/>
        <v>0.86786483871671849</v>
      </c>
      <c r="L117" s="129">
        <f t="shared" si="18"/>
        <v>0.75713452270155646</v>
      </c>
      <c r="M117" s="129">
        <f t="shared" si="18"/>
        <v>0.84775472901620141</v>
      </c>
      <c r="N117" s="130"/>
      <c r="O117" s="131">
        <f t="shared" si="19"/>
        <v>-0.14000000000000001</v>
      </c>
      <c r="P117" s="131">
        <f t="shared" si="20"/>
        <v>0.05</v>
      </c>
      <c r="Q117" s="131">
        <f t="shared" si="20"/>
        <v>1.01</v>
      </c>
      <c r="R117" s="131">
        <f t="shared" si="20"/>
        <v>-0.12</v>
      </c>
      <c r="S117" s="131">
        <f t="shared" si="20"/>
        <v>-0.19</v>
      </c>
      <c r="T117" s="131">
        <f t="shared" si="20"/>
        <v>-0.24</v>
      </c>
      <c r="U117" s="131">
        <f t="shared" si="20"/>
        <v>0.28999999999999998</v>
      </c>
      <c r="V117" s="131">
        <f t="shared" si="20"/>
        <v>0.04</v>
      </c>
      <c r="W117" s="131">
        <f t="shared" si="20"/>
        <v>-0.06</v>
      </c>
      <c r="X117" s="131">
        <f t="shared" si="20"/>
        <v>-0.17</v>
      </c>
      <c r="Y117" s="131">
        <f t="shared" si="20"/>
        <v>-0.13</v>
      </c>
      <c r="Z117" s="131">
        <f t="shared" si="20"/>
        <v>0.12</v>
      </c>
    </row>
    <row r="118" spans="1:26" x14ac:dyDescent="0.25">
      <c r="A118" s="128" t="str">
        <f t="shared" si="4"/>
        <v>Первые блюда</v>
      </c>
      <c r="B118" s="129">
        <f t="shared" si="18"/>
        <v>0.74829422977627147</v>
      </c>
      <c r="C118" s="129">
        <f t="shared" si="18"/>
        <v>0.72933538102332862</v>
      </c>
      <c r="D118" s="129">
        <f t="shared" si="18"/>
        <v>0.98009566180377594</v>
      </c>
      <c r="E118" s="129">
        <f t="shared" si="18"/>
        <v>1.094466648831699</v>
      </c>
      <c r="F118" s="129">
        <f t="shared" si="18"/>
        <v>1.0524509043494608</v>
      </c>
      <c r="G118" s="129">
        <f t="shared" si="18"/>
        <v>1.0537968933788426</v>
      </c>
      <c r="H118" s="129">
        <f t="shared" si="18"/>
        <v>1.1399034128306684</v>
      </c>
      <c r="I118" s="129">
        <f t="shared" si="18"/>
        <v>1.1325272326464362</v>
      </c>
      <c r="J118" s="129">
        <f t="shared" si="18"/>
        <v>0.98582000861919461</v>
      </c>
      <c r="K118" s="129">
        <f t="shared" si="18"/>
        <v>1.1274516404020709</v>
      </c>
      <c r="L118" s="129">
        <f t="shared" si="18"/>
        <v>0.96052333709252569</v>
      </c>
      <c r="M118" s="129">
        <f t="shared" si="18"/>
        <v>0.99533464924572468</v>
      </c>
      <c r="N118" s="130"/>
      <c r="O118" s="131">
        <f t="shared" si="19"/>
        <v>-0.25</v>
      </c>
      <c r="P118" s="131">
        <f t="shared" si="20"/>
        <v>-0.03</v>
      </c>
      <c r="Q118" s="131">
        <f t="shared" si="20"/>
        <v>0.34</v>
      </c>
      <c r="R118" s="131">
        <f t="shared" si="20"/>
        <v>0.12</v>
      </c>
      <c r="S118" s="131">
        <f t="shared" si="20"/>
        <v>-0.04</v>
      </c>
      <c r="T118" s="131">
        <f t="shared" si="20"/>
        <v>0</v>
      </c>
      <c r="U118" s="131">
        <f t="shared" si="20"/>
        <v>0.08</v>
      </c>
      <c r="V118" s="131">
        <f t="shared" si="20"/>
        <v>-0.01</v>
      </c>
      <c r="W118" s="131">
        <f t="shared" si="20"/>
        <v>-0.13</v>
      </c>
      <c r="X118" s="131">
        <f t="shared" si="20"/>
        <v>0.14000000000000001</v>
      </c>
      <c r="Y118" s="131">
        <f t="shared" si="20"/>
        <v>-0.15</v>
      </c>
      <c r="Z118" s="131">
        <f t="shared" si="20"/>
        <v>0.04</v>
      </c>
    </row>
    <row r="119" spans="1:26" x14ac:dyDescent="0.25">
      <c r="A119" s="128" t="str">
        <f t="shared" si="4"/>
        <v>Рыбные блюда</v>
      </c>
      <c r="B119" s="129">
        <f t="shared" si="18"/>
        <v>0.81836747257165887</v>
      </c>
      <c r="C119" s="129">
        <f t="shared" si="18"/>
        <v>0.92289838665759183</v>
      </c>
      <c r="D119" s="129">
        <f t="shared" si="18"/>
        <v>1.2906236945778162</v>
      </c>
      <c r="E119" s="129">
        <f t="shared" si="18"/>
        <v>1.047853660960558</v>
      </c>
      <c r="F119" s="129">
        <f t="shared" si="18"/>
        <v>0.89159621009148471</v>
      </c>
      <c r="G119" s="129">
        <f t="shared" si="18"/>
        <v>0.87068993137228734</v>
      </c>
      <c r="H119" s="129">
        <f t="shared" si="18"/>
        <v>0.78141685283539908</v>
      </c>
      <c r="I119" s="129">
        <f t="shared" si="18"/>
        <v>0.98334797417878539</v>
      </c>
      <c r="J119" s="129">
        <f t="shared" si="18"/>
        <v>1.0922461677543924</v>
      </c>
      <c r="K119" s="129">
        <f t="shared" si="18"/>
        <v>1.1426950499988122</v>
      </c>
      <c r="L119" s="129">
        <f t="shared" si="18"/>
        <v>1.0455907513598888</v>
      </c>
      <c r="M119" s="129">
        <f t="shared" si="18"/>
        <v>1.1126738476413249</v>
      </c>
      <c r="N119" s="130"/>
      <c r="O119" s="131">
        <f t="shared" si="19"/>
        <v>-0.26</v>
      </c>
      <c r="P119" s="131">
        <f t="shared" si="20"/>
        <v>0.13</v>
      </c>
      <c r="Q119" s="131">
        <f t="shared" si="20"/>
        <v>0.4</v>
      </c>
      <c r="R119" s="131">
        <f t="shared" si="20"/>
        <v>-0.19</v>
      </c>
      <c r="S119" s="131">
        <f t="shared" si="20"/>
        <v>-0.15</v>
      </c>
      <c r="T119" s="131">
        <f t="shared" si="20"/>
        <v>-0.02</v>
      </c>
      <c r="U119" s="131">
        <f t="shared" si="20"/>
        <v>-0.1</v>
      </c>
      <c r="V119" s="131">
        <f t="shared" si="20"/>
        <v>0.26</v>
      </c>
      <c r="W119" s="131">
        <f t="shared" si="20"/>
        <v>0.11</v>
      </c>
      <c r="X119" s="131">
        <f t="shared" si="20"/>
        <v>0.05</v>
      </c>
      <c r="Y119" s="131">
        <f t="shared" si="20"/>
        <v>-0.08</v>
      </c>
      <c r="Z119" s="131">
        <f t="shared" si="20"/>
        <v>0.06</v>
      </c>
    </row>
    <row r="120" spans="1:26" x14ac:dyDescent="0.25">
      <c r="A120" s="128" t="str">
        <f t="shared" si="4"/>
        <v>Салаты</v>
      </c>
      <c r="B120" s="129">
        <f t="shared" si="18"/>
        <v>0.90706013708929201</v>
      </c>
      <c r="C120" s="129">
        <f t="shared" si="18"/>
        <v>0.8895229007022456</v>
      </c>
      <c r="D120" s="129">
        <f t="shared" si="18"/>
        <v>1.0511928811356221</v>
      </c>
      <c r="E120" s="129">
        <f t="shared" si="18"/>
        <v>0.98887554775930953</v>
      </c>
      <c r="F120" s="129">
        <f t="shared" si="18"/>
        <v>0.92334737260482314</v>
      </c>
      <c r="G120" s="129">
        <f t="shared" si="18"/>
        <v>0.85988895098771478</v>
      </c>
      <c r="H120" s="129">
        <f t="shared" si="18"/>
        <v>0.8294695583278946</v>
      </c>
      <c r="I120" s="129">
        <f t="shared" si="18"/>
        <v>0.90894302530086624</v>
      </c>
      <c r="J120" s="129">
        <f t="shared" si="18"/>
        <v>1.0319038682947996</v>
      </c>
      <c r="K120" s="129">
        <f t="shared" si="18"/>
        <v>1.1761065225051273</v>
      </c>
      <c r="L120" s="129">
        <f t="shared" si="18"/>
        <v>1.122917437064048</v>
      </c>
      <c r="M120" s="129">
        <f t="shared" si="18"/>
        <v>1.310771798228259</v>
      </c>
      <c r="N120" s="130"/>
      <c r="O120" s="131">
        <f t="shared" si="19"/>
        <v>-0.31</v>
      </c>
      <c r="P120" s="131">
        <f t="shared" si="20"/>
        <v>-0.02</v>
      </c>
      <c r="Q120" s="131">
        <f t="shared" si="20"/>
        <v>0.18</v>
      </c>
      <c r="R120" s="131">
        <f t="shared" si="20"/>
        <v>-0.06</v>
      </c>
      <c r="S120" s="131">
        <f t="shared" si="20"/>
        <v>-7.0000000000000007E-2</v>
      </c>
      <c r="T120" s="131">
        <f t="shared" si="20"/>
        <v>-7.0000000000000007E-2</v>
      </c>
      <c r="U120" s="131">
        <f t="shared" si="20"/>
        <v>-0.04</v>
      </c>
      <c r="V120" s="131">
        <f t="shared" si="20"/>
        <v>0.1</v>
      </c>
      <c r="W120" s="131">
        <f t="shared" si="20"/>
        <v>0.14000000000000001</v>
      </c>
      <c r="X120" s="131">
        <f t="shared" si="20"/>
        <v>0.14000000000000001</v>
      </c>
      <c r="Y120" s="131">
        <f t="shared" si="20"/>
        <v>-0.05</v>
      </c>
      <c r="Z120" s="131">
        <f t="shared" si="20"/>
        <v>0.17</v>
      </c>
    </row>
    <row r="121" spans="1:26" x14ac:dyDescent="0.25">
      <c r="A121" s="128" t="str">
        <f t="shared" si="4"/>
        <v>Салаты корейские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30"/>
      <c r="O121" s="131" t="str">
        <f t="shared" si="19"/>
        <v/>
      </c>
      <c r="P121" s="131" t="str">
        <f t="shared" si="20"/>
        <v/>
      </c>
      <c r="Q121" s="131" t="str">
        <f t="shared" si="20"/>
        <v/>
      </c>
      <c r="R121" s="131" t="str">
        <f t="shared" si="20"/>
        <v/>
      </c>
      <c r="S121" s="131" t="str">
        <f t="shared" si="20"/>
        <v/>
      </c>
      <c r="T121" s="131" t="str">
        <f t="shared" si="20"/>
        <v/>
      </c>
      <c r="U121" s="131" t="str">
        <f t="shared" si="20"/>
        <v/>
      </c>
      <c r="V121" s="131" t="str">
        <f t="shared" si="20"/>
        <v/>
      </c>
      <c r="W121" s="131" t="str">
        <f t="shared" si="20"/>
        <v/>
      </c>
      <c r="X121" s="131" t="str">
        <f t="shared" si="20"/>
        <v/>
      </c>
      <c r="Y121" s="131" t="str">
        <f t="shared" si="20"/>
        <v/>
      </c>
      <c r="Z121" s="131" t="str">
        <f t="shared" si="20"/>
        <v/>
      </c>
    </row>
    <row r="122" spans="1:26" x14ac:dyDescent="0.25">
      <c r="A122" s="128" t="str">
        <f t="shared" si="4"/>
        <v>Салаты мясные</v>
      </c>
      <c r="B122" s="129">
        <f t="shared" ref="B122:M126" si="21">B48/$O48</f>
        <v>0.93546460973593426</v>
      </c>
      <c r="C122" s="129">
        <f t="shared" si="21"/>
        <v>0.97300608635178221</v>
      </c>
      <c r="D122" s="129">
        <f t="shared" si="21"/>
        <v>1.0100646460478173</v>
      </c>
      <c r="E122" s="129">
        <f t="shared" si="21"/>
        <v>0.95728207654925657</v>
      </c>
      <c r="F122" s="129">
        <f t="shared" si="21"/>
        <v>0.91899207364869551</v>
      </c>
      <c r="G122" s="129">
        <f t="shared" si="21"/>
        <v>0.89149001071441214</v>
      </c>
      <c r="H122" s="129">
        <f t="shared" si="21"/>
        <v>0.85735781609869932</v>
      </c>
      <c r="I122" s="129">
        <f t="shared" si="21"/>
        <v>0.9163051628845359</v>
      </c>
      <c r="J122" s="129">
        <f t="shared" si="21"/>
        <v>1.0120619523533225</v>
      </c>
      <c r="K122" s="129">
        <f t="shared" si="21"/>
        <v>1.1683061816235909</v>
      </c>
      <c r="L122" s="129">
        <f t="shared" si="21"/>
        <v>1.1087615958771635</v>
      </c>
      <c r="M122" s="129">
        <f t="shared" si="21"/>
        <v>1.2509077881147888</v>
      </c>
      <c r="N122" s="130"/>
      <c r="O122" s="131">
        <f t="shared" si="19"/>
        <v>-0.25</v>
      </c>
      <c r="P122" s="131">
        <f t="shared" si="20"/>
        <v>0.04</v>
      </c>
      <c r="Q122" s="131">
        <f t="shared" si="20"/>
        <v>0.04</v>
      </c>
      <c r="R122" s="131">
        <f t="shared" si="20"/>
        <v>-0.05</v>
      </c>
      <c r="S122" s="131">
        <f t="shared" si="20"/>
        <v>-0.04</v>
      </c>
      <c r="T122" s="131">
        <f t="shared" si="20"/>
        <v>-0.03</v>
      </c>
      <c r="U122" s="131">
        <f t="shared" si="20"/>
        <v>-0.04</v>
      </c>
      <c r="V122" s="131">
        <f t="shared" si="20"/>
        <v>7.0000000000000007E-2</v>
      </c>
      <c r="W122" s="131">
        <f t="shared" si="20"/>
        <v>0.1</v>
      </c>
      <c r="X122" s="131">
        <f t="shared" si="20"/>
        <v>0.15</v>
      </c>
      <c r="Y122" s="131">
        <f t="shared" si="20"/>
        <v>-0.05</v>
      </c>
      <c r="Z122" s="131">
        <f t="shared" si="20"/>
        <v>0.13</v>
      </c>
    </row>
    <row r="123" spans="1:26" x14ac:dyDescent="0.25">
      <c r="A123" s="128" t="str">
        <f t="shared" si="4"/>
        <v>Салаты овощные</v>
      </c>
      <c r="B123" s="129">
        <f t="shared" si="21"/>
        <v>0.80939417158241478</v>
      </c>
      <c r="C123" s="129">
        <f t="shared" si="21"/>
        <v>0.73658179790310452</v>
      </c>
      <c r="D123" s="129">
        <f t="shared" si="21"/>
        <v>1.1633792443335018</v>
      </c>
      <c r="E123" s="129">
        <f t="shared" si="21"/>
        <v>1.1250624621279601</v>
      </c>
      <c r="F123" s="129">
        <f t="shared" si="21"/>
        <v>0.98606098336715442</v>
      </c>
      <c r="G123" s="129">
        <f t="shared" si="21"/>
        <v>0.86072384524086221</v>
      </c>
      <c r="H123" s="129">
        <f t="shared" si="21"/>
        <v>0.8107917848698013</v>
      </c>
      <c r="I123" s="129">
        <f t="shared" si="21"/>
        <v>0.90312241790338021</v>
      </c>
      <c r="J123" s="129">
        <f t="shared" si="21"/>
        <v>0.98153817027808121</v>
      </c>
      <c r="K123" s="129">
        <f t="shared" si="21"/>
        <v>1.1705328864278359</v>
      </c>
      <c r="L123" s="129">
        <f t="shared" si="21"/>
        <v>1.1633414700900127</v>
      </c>
      <c r="M123" s="129">
        <f t="shared" si="21"/>
        <v>1.289470765875893</v>
      </c>
      <c r="N123" s="130"/>
      <c r="O123" s="131">
        <f t="shared" si="19"/>
        <v>-0.37</v>
      </c>
      <c r="P123" s="131">
        <f t="shared" si="20"/>
        <v>-0.09</v>
      </c>
      <c r="Q123" s="131">
        <f t="shared" si="20"/>
        <v>0.57999999999999996</v>
      </c>
      <c r="R123" s="131">
        <f t="shared" si="20"/>
        <v>-0.03</v>
      </c>
      <c r="S123" s="131">
        <f t="shared" si="20"/>
        <v>-0.12</v>
      </c>
      <c r="T123" s="131">
        <f t="shared" si="20"/>
        <v>-0.13</v>
      </c>
      <c r="U123" s="131">
        <f t="shared" si="20"/>
        <v>-0.06</v>
      </c>
      <c r="V123" s="131">
        <f t="shared" si="20"/>
        <v>0.11</v>
      </c>
      <c r="W123" s="131">
        <f t="shared" si="20"/>
        <v>0.09</v>
      </c>
      <c r="X123" s="131">
        <f t="shared" si="20"/>
        <v>0.19</v>
      </c>
      <c r="Y123" s="131">
        <f t="shared" si="20"/>
        <v>-0.01</v>
      </c>
      <c r="Z123" s="131">
        <f t="shared" si="20"/>
        <v>0.11</v>
      </c>
    </row>
    <row r="124" spans="1:26" x14ac:dyDescent="0.25">
      <c r="A124" s="128" t="str">
        <f t="shared" si="4"/>
        <v>Салаты рыбные</v>
      </c>
      <c r="B124" s="129">
        <f t="shared" si="21"/>
        <v>0.8968891394046028</v>
      </c>
      <c r="C124" s="129">
        <f t="shared" si="21"/>
        <v>0.87398858207894636</v>
      </c>
      <c r="D124" s="129">
        <f t="shared" si="21"/>
        <v>1.0717501260329709</v>
      </c>
      <c r="E124" s="129">
        <f t="shared" si="21"/>
        <v>0.90473717667734943</v>
      </c>
      <c r="F124" s="129">
        <f t="shared" si="21"/>
        <v>0.81473025835313317</v>
      </c>
      <c r="G124" s="129">
        <f t="shared" si="21"/>
        <v>0.72678128048235202</v>
      </c>
      <c r="H124" s="129">
        <f t="shared" si="21"/>
        <v>0.72837169418332637</v>
      </c>
      <c r="I124" s="129">
        <f t="shared" si="21"/>
        <v>0.82173384828320983</v>
      </c>
      <c r="J124" s="129">
        <f t="shared" si="21"/>
        <v>1.0975924452653096</v>
      </c>
      <c r="K124" s="129">
        <f t="shared" si="21"/>
        <v>1.2491998526916943</v>
      </c>
      <c r="L124" s="129">
        <f t="shared" si="21"/>
        <v>1.1982511205588355</v>
      </c>
      <c r="M124" s="129">
        <f t="shared" si="21"/>
        <v>1.6159744759882693</v>
      </c>
      <c r="N124" s="130"/>
      <c r="O124" s="131">
        <f t="shared" si="19"/>
        <v>-0.44</v>
      </c>
      <c r="P124" s="131">
        <f t="shared" si="20"/>
        <v>-0.03</v>
      </c>
      <c r="Q124" s="131">
        <f t="shared" si="20"/>
        <v>0.23</v>
      </c>
      <c r="R124" s="131">
        <f t="shared" si="20"/>
        <v>-0.16</v>
      </c>
      <c r="S124" s="131">
        <f t="shared" si="20"/>
        <v>-0.1</v>
      </c>
      <c r="T124" s="131">
        <f t="shared" si="20"/>
        <v>-0.11</v>
      </c>
      <c r="U124" s="131">
        <f t="shared" si="20"/>
        <v>0</v>
      </c>
      <c r="V124" s="131">
        <f t="shared" si="20"/>
        <v>0.13</v>
      </c>
      <c r="W124" s="131">
        <f t="shared" si="20"/>
        <v>0.34</v>
      </c>
      <c r="X124" s="131">
        <f t="shared" si="20"/>
        <v>0.14000000000000001</v>
      </c>
      <c r="Y124" s="131">
        <f t="shared" si="20"/>
        <v>-0.04</v>
      </c>
      <c r="Z124" s="131">
        <f t="shared" si="20"/>
        <v>0.35</v>
      </c>
    </row>
    <row r="125" spans="1:26" x14ac:dyDescent="0.25">
      <c r="A125" s="128" t="str">
        <f t="shared" si="4"/>
        <v>Соуса</v>
      </c>
      <c r="B125" s="129">
        <f t="shared" si="21"/>
        <v>0.77967709999755341</v>
      </c>
      <c r="C125" s="129">
        <f t="shared" si="21"/>
        <v>1.041800992843146</v>
      </c>
      <c r="D125" s="129">
        <f t="shared" si="21"/>
        <v>0.89567992059368107</v>
      </c>
      <c r="E125" s="129">
        <f t="shared" si="21"/>
        <v>0.83229454891116295</v>
      </c>
      <c r="F125" s="129">
        <f t="shared" si="21"/>
        <v>0.92010628319037147</v>
      </c>
      <c r="G125" s="129">
        <f t="shared" si="21"/>
        <v>0.92224499483758637</v>
      </c>
      <c r="H125" s="129">
        <f t="shared" si="21"/>
        <v>1.000430525174459</v>
      </c>
      <c r="I125" s="129">
        <f t="shared" si="21"/>
        <v>1.1089760303873404</v>
      </c>
      <c r="J125" s="129">
        <f t="shared" si="21"/>
        <v>1.1894751752892334</v>
      </c>
      <c r="K125" s="129">
        <f t="shared" si="21"/>
        <v>1.2207929591895978</v>
      </c>
      <c r="L125" s="129">
        <f t="shared" si="21"/>
        <v>1.0455686812910028</v>
      </c>
      <c r="M125" s="129">
        <f t="shared" si="21"/>
        <v>1.0429527882948637</v>
      </c>
      <c r="N125" s="130"/>
      <c r="O125" s="131">
        <f t="shared" si="19"/>
        <v>-0.25</v>
      </c>
      <c r="P125" s="131">
        <f t="shared" si="20"/>
        <v>0.34</v>
      </c>
      <c r="Q125" s="131">
        <f t="shared" si="20"/>
        <v>-0.14000000000000001</v>
      </c>
      <c r="R125" s="131">
        <f t="shared" si="20"/>
        <v>-7.0000000000000007E-2</v>
      </c>
      <c r="S125" s="131">
        <f t="shared" si="20"/>
        <v>0.11</v>
      </c>
      <c r="T125" s="131">
        <f t="shared" si="20"/>
        <v>0</v>
      </c>
      <c r="U125" s="131">
        <f t="shared" si="20"/>
        <v>0.08</v>
      </c>
      <c r="V125" s="131">
        <f t="shared" si="20"/>
        <v>0.11</v>
      </c>
      <c r="W125" s="131">
        <f t="shared" si="20"/>
        <v>7.0000000000000007E-2</v>
      </c>
      <c r="X125" s="131">
        <f t="shared" si="20"/>
        <v>0.03</v>
      </c>
      <c r="Y125" s="131">
        <f t="shared" si="20"/>
        <v>-0.14000000000000001</v>
      </c>
      <c r="Z125" s="131">
        <f t="shared" si="20"/>
        <v>0</v>
      </c>
    </row>
    <row r="126" spans="1:26" x14ac:dyDescent="0.25">
      <c r="A126" s="128" t="str">
        <f t="shared" si="4"/>
        <v>Творожные блюда</v>
      </c>
      <c r="B126" s="129">
        <f t="shared" si="21"/>
        <v>0.88738372233665286</v>
      </c>
      <c r="C126" s="129">
        <f t="shared" si="21"/>
        <v>0.83225841387584631</v>
      </c>
      <c r="D126" s="129">
        <f t="shared" si="21"/>
        <v>0.91363545765739862</v>
      </c>
      <c r="E126" s="129">
        <f t="shared" si="21"/>
        <v>1.000772053282954</v>
      </c>
      <c r="F126" s="129">
        <f t="shared" si="21"/>
        <v>1.1410397097230571</v>
      </c>
      <c r="G126" s="129">
        <f t="shared" si="21"/>
        <v>1.0177202351646371</v>
      </c>
      <c r="H126" s="129">
        <f t="shared" si="21"/>
        <v>0.98440716615096613</v>
      </c>
      <c r="I126" s="129">
        <f t="shared" si="21"/>
        <v>1.0050582509670345</v>
      </c>
      <c r="J126" s="129">
        <f t="shared" si="21"/>
        <v>1.0080791028574863</v>
      </c>
      <c r="K126" s="129">
        <f t="shared" si="21"/>
        <v>1.2193272739362868</v>
      </c>
      <c r="L126" s="129">
        <f t="shared" si="21"/>
        <v>1.0219609755851344</v>
      </c>
      <c r="M126" s="129">
        <f t="shared" si="21"/>
        <v>0.96835763846254741</v>
      </c>
      <c r="N126" s="130"/>
      <c r="O126" s="131">
        <f t="shared" si="19"/>
        <v>-0.08</v>
      </c>
      <c r="P126" s="131">
        <f t="shared" si="20"/>
        <v>-0.06</v>
      </c>
      <c r="Q126" s="131">
        <f t="shared" si="20"/>
        <v>0.1</v>
      </c>
      <c r="R126" s="131">
        <f t="shared" si="20"/>
        <v>0.1</v>
      </c>
      <c r="S126" s="131">
        <f t="shared" si="20"/>
        <v>0.14000000000000001</v>
      </c>
      <c r="T126" s="131">
        <f t="shared" si="20"/>
        <v>-0.11</v>
      </c>
      <c r="U126" s="131">
        <f t="shared" si="20"/>
        <v>-0.03</v>
      </c>
      <c r="V126" s="131">
        <f t="shared" si="20"/>
        <v>0.02</v>
      </c>
      <c r="W126" s="131">
        <f t="shared" si="20"/>
        <v>0</v>
      </c>
      <c r="X126" s="131">
        <f t="shared" si="20"/>
        <v>0.21</v>
      </c>
      <c r="Y126" s="131">
        <f t="shared" si="20"/>
        <v>-0.16</v>
      </c>
      <c r="Z126" s="131">
        <f t="shared" si="20"/>
        <v>-0.05</v>
      </c>
    </row>
    <row r="127" spans="1:26" x14ac:dyDescent="0.25">
      <c r="A127" s="128" t="str">
        <f t="shared" si="4"/>
        <v>Подарки</v>
      </c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30"/>
      <c r="O127" s="131" t="str">
        <f t="shared" si="19"/>
        <v/>
      </c>
      <c r="P127" s="131" t="str">
        <f t="shared" si="20"/>
        <v/>
      </c>
      <c r="Q127" s="131" t="str">
        <f t="shared" si="20"/>
        <v/>
      </c>
      <c r="R127" s="131" t="str">
        <f t="shared" si="20"/>
        <v/>
      </c>
      <c r="S127" s="131" t="str">
        <f t="shared" si="20"/>
        <v/>
      </c>
      <c r="T127" s="131" t="str">
        <f t="shared" si="20"/>
        <v/>
      </c>
      <c r="U127" s="131" t="str">
        <f t="shared" si="20"/>
        <v/>
      </c>
      <c r="V127" s="131" t="str">
        <f t="shared" si="20"/>
        <v/>
      </c>
      <c r="W127" s="131" t="str">
        <f t="shared" si="20"/>
        <v/>
      </c>
      <c r="X127" s="131" t="str">
        <f t="shared" si="20"/>
        <v/>
      </c>
      <c r="Y127" s="131" t="str">
        <f t="shared" si="20"/>
        <v/>
      </c>
      <c r="Z127" s="131" t="str">
        <f t="shared" si="20"/>
        <v/>
      </c>
    </row>
    <row r="128" spans="1:26" x14ac:dyDescent="0.25">
      <c r="A128" s="124" t="str">
        <f t="shared" si="4"/>
        <v>Продукция магазина</v>
      </c>
      <c r="B128" s="125">
        <f t="shared" ref="B128:M130" si="22">B54/$O54</f>
        <v>0.95202020545743926</v>
      </c>
      <c r="C128" s="125">
        <f t="shared" si="22"/>
        <v>0.88396680735901134</v>
      </c>
      <c r="D128" s="125">
        <f t="shared" si="22"/>
        <v>1.0361717002125665</v>
      </c>
      <c r="E128" s="125">
        <f t="shared" si="22"/>
        <v>1.0053377852160112</v>
      </c>
      <c r="F128" s="125">
        <f t="shared" si="22"/>
        <v>0.98005940601517827</v>
      </c>
      <c r="G128" s="125">
        <f t="shared" si="22"/>
        <v>0.94292599965300339</v>
      </c>
      <c r="H128" s="125">
        <f t="shared" si="22"/>
        <v>0.92419990802159746</v>
      </c>
      <c r="I128" s="125">
        <f t="shared" si="22"/>
        <v>0.95411801907390925</v>
      </c>
      <c r="J128" s="125">
        <f t="shared" si="22"/>
        <v>1.0407950973058948</v>
      </c>
      <c r="K128" s="125">
        <f t="shared" si="22"/>
        <v>1.1544584283754615</v>
      </c>
      <c r="L128" s="125">
        <f t="shared" si="22"/>
        <v>1.0399625241015822</v>
      </c>
      <c r="M128" s="125">
        <f t="shared" si="22"/>
        <v>1.0859841192083437</v>
      </c>
      <c r="N128" s="126"/>
      <c r="O128" s="127">
        <f t="shared" si="19"/>
        <v>-0.12</v>
      </c>
      <c r="P128" s="127">
        <f t="shared" si="20"/>
        <v>-7.0000000000000007E-2</v>
      </c>
      <c r="Q128" s="127">
        <f t="shared" si="20"/>
        <v>0.17</v>
      </c>
      <c r="R128" s="127">
        <f t="shared" si="20"/>
        <v>-0.03</v>
      </c>
      <c r="S128" s="127">
        <f t="shared" si="20"/>
        <v>-0.03</v>
      </c>
      <c r="T128" s="127">
        <f t="shared" si="20"/>
        <v>-0.04</v>
      </c>
      <c r="U128" s="127">
        <f t="shared" si="20"/>
        <v>-0.02</v>
      </c>
      <c r="V128" s="127">
        <f t="shared" si="20"/>
        <v>0.03</v>
      </c>
      <c r="W128" s="127">
        <f t="shared" si="20"/>
        <v>0.09</v>
      </c>
      <c r="X128" s="127">
        <f t="shared" si="20"/>
        <v>0.11</v>
      </c>
      <c r="Y128" s="127">
        <f t="shared" si="20"/>
        <v>-0.1</v>
      </c>
      <c r="Z128" s="127">
        <f t="shared" si="20"/>
        <v>0.04</v>
      </c>
    </row>
    <row r="129" spans="1:26" x14ac:dyDescent="0.25">
      <c r="A129" s="124" t="str">
        <f t="shared" si="4"/>
        <v>Выпечка</v>
      </c>
      <c r="B129" s="125">
        <f t="shared" si="22"/>
        <v>1.0294789789341616</v>
      </c>
      <c r="C129" s="125">
        <f t="shared" si="22"/>
        <v>0.93655906673532952</v>
      </c>
      <c r="D129" s="125">
        <f t="shared" si="22"/>
        <v>1.0708224185077491</v>
      </c>
      <c r="E129" s="125">
        <f t="shared" si="22"/>
        <v>1.0420685249593169</v>
      </c>
      <c r="F129" s="125">
        <f t="shared" si="22"/>
        <v>1.0024043661300575</v>
      </c>
      <c r="G129" s="125">
        <f t="shared" si="22"/>
        <v>0.9205981863463083</v>
      </c>
      <c r="H129" s="125">
        <f t="shared" si="22"/>
        <v>0.90034339185834866</v>
      </c>
      <c r="I129" s="125">
        <f t="shared" si="22"/>
        <v>0.91533397678455908</v>
      </c>
      <c r="J129" s="125">
        <f t="shared" si="22"/>
        <v>1.0008479633442362</v>
      </c>
      <c r="K129" s="125">
        <f t="shared" si="22"/>
        <v>1.1211413276808289</v>
      </c>
      <c r="L129" s="125">
        <f t="shared" si="22"/>
        <v>1.013941762864351</v>
      </c>
      <c r="M129" s="125">
        <f t="shared" si="22"/>
        <v>1.0464600358547522</v>
      </c>
      <c r="N129" s="126"/>
      <c r="O129" s="127">
        <f t="shared" si="19"/>
        <v>-0.02</v>
      </c>
      <c r="P129" s="127">
        <f t="shared" si="20"/>
        <v>-0.09</v>
      </c>
      <c r="Q129" s="127">
        <f t="shared" si="20"/>
        <v>0.14000000000000001</v>
      </c>
      <c r="R129" s="127">
        <f t="shared" si="20"/>
        <v>-0.03</v>
      </c>
      <c r="S129" s="127">
        <f t="shared" si="20"/>
        <v>-0.04</v>
      </c>
      <c r="T129" s="127">
        <f t="shared" si="20"/>
        <v>-0.08</v>
      </c>
      <c r="U129" s="127">
        <f t="shared" si="20"/>
        <v>-0.02</v>
      </c>
      <c r="V129" s="127">
        <f t="shared" si="20"/>
        <v>0.02</v>
      </c>
      <c r="W129" s="127">
        <f t="shared" si="20"/>
        <v>0.09</v>
      </c>
      <c r="X129" s="127">
        <f t="shared" si="20"/>
        <v>0.12</v>
      </c>
      <c r="Y129" s="127">
        <f t="shared" si="20"/>
        <v>-0.1</v>
      </c>
      <c r="Z129" s="127">
        <f t="shared" si="20"/>
        <v>0.03</v>
      </c>
    </row>
    <row r="130" spans="1:26" x14ac:dyDescent="0.25">
      <c r="A130" s="128" t="str">
        <f t="shared" si="4"/>
        <v>Бараночные и сухарные изделия</v>
      </c>
      <c r="B130" s="129">
        <f t="shared" si="22"/>
        <v>1.2026038486803705</v>
      </c>
      <c r="C130" s="129">
        <f t="shared" si="22"/>
        <v>1.110104309412671</v>
      </c>
      <c r="D130" s="129">
        <f t="shared" si="22"/>
        <v>1.1927581393662514</v>
      </c>
      <c r="E130" s="129">
        <f t="shared" si="22"/>
        <v>1.1200645308930355</v>
      </c>
      <c r="F130" s="129">
        <f t="shared" si="22"/>
        <v>1.0186675131572183</v>
      </c>
      <c r="G130" s="129">
        <f t="shared" si="22"/>
        <v>0.9210774407033141</v>
      </c>
      <c r="H130" s="129">
        <f t="shared" si="22"/>
        <v>0.81876432563753376</v>
      </c>
      <c r="I130" s="129">
        <f t="shared" si="22"/>
        <v>0.93114165792649328</v>
      </c>
      <c r="J130" s="129">
        <f t="shared" si="22"/>
        <v>1.0345847042653278</v>
      </c>
      <c r="K130" s="129">
        <f t="shared" si="22"/>
        <v>1.0307859384238607</v>
      </c>
      <c r="L130" s="129">
        <f t="shared" si="22"/>
        <v>0.74687126704457329</v>
      </c>
      <c r="M130" s="129">
        <f t="shared" si="22"/>
        <v>0.87257632448935218</v>
      </c>
      <c r="N130" s="130"/>
      <c r="O130" s="131">
        <f t="shared" si="19"/>
        <v>0.38</v>
      </c>
      <c r="P130" s="131">
        <f t="shared" si="20"/>
        <v>-0.08</v>
      </c>
      <c r="Q130" s="131">
        <f t="shared" si="20"/>
        <v>7.0000000000000007E-2</v>
      </c>
      <c r="R130" s="131">
        <f t="shared" si="20"/>
        <v>-0.06</v>
      </c>
      <c r="S130" s="131">
        <f t="shared" si="20"/>
        <v>-0.09</v>
      </c>
      <c r="T130" s="131">
        <f t="shared" si="20"/>
        <v>-0.1</v>
      </c>
      <c r="U130" s="131">
        <f t="shared" si="20"/>
        <v>-0.11</v>
      </c>
      <c r="V130" s="131">
        <f t="shared" si="20"/>
        <v>0.14000000000000001</v>
      </c>
      <c r="W130" s="131">
        <f t="shared" si="20"/>
        <v>0.11</v>
      </c>
      <c r="X130" s="131">
        <f t="shared" si="20"/>
        <v>0</v>
      </c>
      <c r="Y130" s="131">
        <f t="shared" si="20"/>
        <v>-0.28000000000000003</v>
      </c>
      <c r="Z130" s="131">
        <f t="shared" si="20"/>
        <v>0.17</v>
      </c>
    </row>
    <row r="131" spans="1:26" x14ac:dyDescent="0.25">
      <c r="A131" s="128" t="str">
        <f t="shared" si="4"/>
        <v>Выпечка на заказ</v>
      </c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30"/>
      <c r="O131" s="131" t="str">
        <f t="shared" si="19"/>
        <v/>
      </c>
      <c r="P131" s="131" t="str">
        <f t="shared" si="20"/>
        <v/>
      </c>
      <c r="Q131" s="131" t="str">
        <f t="shared" si="20"/>
        <v/>
      </c>
      <c r="R131" s="131" t="str">
        <f t="shared" si="20"/>
        <v/>
      </c>
      <c r="S131" s="131" t="str">
        <f t="shared" si="20"/>
        <v/>
      </c>
      <c r="T131" s="131" t="str">
        <f t="shared" si="20"/>
        <v/>
      </c>
      <c r="U131" s="131" t="str">
        <f t="shared" si="20"/>
        <v/>
      </c>
      <c r="V131" s="131" t="str">
        <f t="shared" si="20"/>
        <v/>
      </c>
      <c r="W131" s="131" t="str">
        <f t="shared" si="20"/>
        <v/>
      </c>
      <c r="X131" s="131" t="str">
        <f t="shared" si="20"/>
        <v/>
      </c>
      <c r="Y131" s="131" t="str">
        <f t="shared" si="20"/>
        <v/>
      </c>
      <c r="Z131" s="131" t="str">
        <f t="shared" si="20"/>
        <v/>
      </c>
    </row>
    <row r="132" spans="1:26" x14ac:dyDescent="0.25">
      <c r="A132" s="128" t="str">
        <f t="shared" si="4"/>
        <v>Изделия из несладкого дрожжевого теста</v>
      </c>
      <c r="B132" s="129">
        <f t="shared" ref="B132:M138" si="23">B58/$O58</f>
        <v>1.0956216307238309</v>
      </c>
      <c r="C132" s="129">
        <f t="shared" si="23"/>
        <v>0.98903504488115923</v>
      </c>
      <c r="D132" s="129">
        <f t="shared" si="23"/>
        <v>1.1236942825601968</v>
      </c>
      <c r="E132" s="129">
        <f t="shared" si="23"/>
        <v>1.015956279312719</v>
      </c>
      <c r="F132" s="129">
        <f t="shared" si="23"/>
        <v>0.99805418615816599</v>
      </c>
      <c r="G132" s="129">
        <f t="shared" si="23"/>
        <v>0.9097700302331414</v>
      </c>
      <c r="H132" s="129">
        <f t="shared" si="23"/>
        <v>0.88074595158056712</v>
      </c>
      <c r="I132" s="129">
        <f t="shared" si="23"/>
        <v>0.90476594552781153</v>
      </c>
      <c r="J132" s="129">
        <f t="shared" si="23"/>
        <v>1.0051505723408769</v>
      </c>
      <c r="K132" s="129">
        <f t="shared" si="23"/>
        <v>1.0785522970486421</v>
      </c>
      <c r="L132" s="129">
        <f t="shared" si="23"/>
        <v>0.96586764003167469</v>
      </c>
      <c r="M132" s="129">
        <f t="shared" si="23"/>
        <v>1.0327861396012161</v>
      </c>
      <c r="N132" s="130"/>
      <c r="O132" s="131">
        <f t="shared" si="19"/>
        <v>0.06</v>
      </c>
      <c r="P132" s="131">
        <f t="shared" si="20"/>
        <v>-0.1</v>
      </c>
      <c r="Q132" s="131">
        <f t="shared" si="20"/>
        <v>0.14000000000000001</v>
      </c>
      <c r="R132" s="131">
        <f t="shared" si="20"/>
        <v>-0.1</v>
      </c>
      <c r="S132" s="131">
        <f t="shared" si="20"/>
        <v>-0.02</v>
      </c>
      <c r="T132" s="131">
        <f t="shared" si="20"/>
        <v>-0.09</v>
      </c>
      <c r="U132" s="131">
        <f t="shared" si="20"/>
        <v>-0.03</v>
      </c>
      <c r="V132" s="131">
        <f t="shared" si="20"/>
        <v>0.03</v>
      </c>
      <c r="W132" s="131">
        <f t="shared" si="20"/>
        <v>0.11</v>
      </c>
      <c r="X132" s="131">
        <f t="shared" si="20"/>
        <v>7.0000000000000007E-2</v>
      </c>
      <c r="Y132" s="131">
        <f t="shared" si="20"/>
        <v>-0.1</v>
      </c>
      <c r="Z132" s="131">
        <f t="shared" si="20"/>
        <v>7.0000000000000007E-2</v>
      </c>
    </row>
    <row r="133" spans="1:26" x14ac:dyDescent="0.25">
      <c r="A133" s="128" t="str">
        <f t="shared" si="4"/>
        <v>Пироги несладкие</v>
      </c>
      <c r="B133" s="129">
        <f t="shared" si="23"/>
        <v>1.2084363202806703</v>
      </c>
      <c r="C133" s="129">
        <f t="shared" si="23"/>
        <v>1.063237860242394</v>
      </c>
      <c r="D133" s="129">
        <f t="shared" si="23"/>
        <v>1.135000360222733</v>
      </c>
      <c r="E133" s="129">
        <f t="shared" si="23"/>
        <v>0.99495554184616841</v>
      </c>
      <c r="F133" s="129">
        <f t="shared" si="23"/>
        <v>1.0276737992740952</v>
      </c>
      <c r="G133" s="129">
        <f t="shared" si="23"/>
        <v>0.90353206139715514</v>
      </c>
      <c r="H133" s="129">
        <f t="shared" si="23"/>
        <v>0.89905391082857489</v>
      </c>
      <c r="I133" s="129">
        <f t="shared" si="23"/>
        <v>0.92298453835806782</v>
      </c>
      <c r="J133" s="129">
        <f t="shared" si="23"/>
        <v>1.0110197595824328</v>
      </c>
      <c r="K133" s="129">
        <f t="shared" si="23"/>
        <v>1.0030413643821809</v>
      </c>
      <c r="L133" s="129">
        <f t="shared" si="23"/>
        <v>0.86645048078393871</v>
      </c>
      <c r="M133" s="129">
        <f t="shared" si="23"/>
        <v>0.96461400280158716</v>
      </c>
      <c r="N133" s="130"/>
      <c r="O133" s="131">
        <f t="shared" si="19"/>
        <v>0.25</v>
      </c>
      <c r="P133" s="131">
        <f t="shared" si="20"/>
        <v>-0.12</v>
      </c>
      <c r="Q133" s="131">
        <f t="shared" si="20"/>
        <v>7.0000000000000007E-2</v>
      </c>
      <c r="R133" s="131">
        <f t="shared" si="20"/>
        <v>-0.12</v>
      </c>
      <c r="S133" s="131">
        <f t="shared" si="20"/>
        <v>0.03</v>
      </c>
      <c r="T133" s="131">
        <f t="shared" si="20"/>
        <v>-0.12</v>
      </c>
      <c r="U133" s="131">
        <f t="shared" si="20"/>
        <v>0</v>
      </c>
      <c r="V133" s="131">
        <f t="shared" si="20"/>
        <v>0.03</v>
      </c>
      <c r="W133" s="131">
        <f t="shared" si="20"/>
        <v>0.1</v>
      </c>
      <c r="X133" s="131">
        <f t="shared" si="20"/>
        <v>-0.01</v>
      </c>
      <c r="Y133" s="131">
        <f t="shared" si="20"/>
        <v>-0.14000000000000001</v>
      </c>
      <c r="Z133" s="131">
        <f t="shared" si="20"/>
        <v>0.11</v>
      </c>
    </row>
    <row r="134" spans="1:26" x14ac:dyDescent="0.25">
      <c r="A134" s="128" t="str">
        <f t="shared" si="4"/>
        <v>Пирожки несладкие</v>
      </c>
      <c r="B134" s="129">
        <f t="shared" si="23"/>
        <v>0.98185492223297255</v>
      </c>
      <c r="C134" s="129">
        <f t="shared" si="23"/>
        <v>0.91420604789890547</v>
      </c>
      <c r="D134" s="129">
        <f t="shared" si="23"/>
        <v>1.1122927953366666</v>
      </c>
      <c r="E134" s="129">
        <f t="shared" si="23"/>
        <v>1.0371342374920596</v>
      </c>
      <c r="F134" s="129">
        <f t="shared" si="23"/>
        <v>0.96818461948906465</v>
      </c>
      <c r="G134" s="129">
        <f t="shared" si="23"/>
        <v>0.91606063994829801</v>
      </c>
      <c r="H134" s="129">
        <f t="shared" si="23"/>
        <v>0.86228349539678018</v>
      </c>
      <c r="I134" s="129">
        <f t="shared" si="23"/>
        <v>0.88639360990578053</v>
      </c>
      <c r="J134" s="129">
        <f t="shared" si="23"/>
        <v>0.99923185628881528</v>
      </c>
      <c r="K134" s="129">
        <f t="shared" si="23"/>
        <v>1.154700450257093</v>
      </c>
      <c r="L134" s="129">
        <f t="shared" si="23"/>
        <v>1.0661237593327688</v>
      </c>
      <c r="M134" s="129">
        <f t="shared" si="23"/>
        <v>1.1015335664207939</v>
      </c>
      <c r="N134" s="130"/>
      <c r="O134" s="131">
        <f t="shared" si="19"/>
        <v>-0.11</v>
      </c>
      <c r="P134" s="131">
        <f t="shared" si="20"/>
        <v>-7.0000000000000007E-2</v>
      </c>
      <c r="Q134" s="131">
        <f t="shared" si="20"/>
        <v>0.22</v>
      </c>
      <c r="R134" s="131">
        <f t="shared" ref="R134:Z146" si="24">IFERROR(ROUND(E134/D134-1,2),"")</f>
        <v>-7.0000000000000007E-2</v>
      </c>
      <c r="S134" s="131">
        <f t="shared" si="24"/>
        <v>-7.0000000000000007E-2</v>
      </c>
      <c r="T134" s="131">
        <f t="shared" si="24"/>
        <v>-0.05</v>
      </c>
      <c r="U134" s="131">
        <f t="shared" si="24"/>
        <v>-0.06</v>
      </c>
      <c r="V134" s="131">
        <f t="shared" si="24"/>
        <v>0.03</v>
      </c>
      <c r="W134" s="131">
        <f t="shared" si="24"/>
        <v>0.13</v>
      </c>
      <c r="X134" s="131">
        <f t="shared" si="24"/>
        <v>0.16</v>
      </c>
      <c r="Y134" s="131">
        <f t="shared" si="24"/>
        <v>-0.08</v>
      </c>
      <c r="Z134" s="131">
        <f t="shared" si="24"/>
        <v>0.03</v>
      </c>
    </row>
    <row r="135" spans="1:26" x14ac:dyDescent="0.25">
      <c r="A135" s="128" t="str">
        <f t="shared" si="4"/>
        <v>Изделия из сладкого дрожжевого теста</v>
      </c>
      <c r="B135" s="129">
        <f t="shared" si="23"/>
        <v>1.0313788696200346</v>
      </c>
      <c r="C135" s="129">
        <f t="shared" si="23"/>
        <v>0.93340952656182963</v>
      </c>
      <c r="D135" s="129">
        <f t="shared" si="23"/>
        <v>1.0934846881579909</v>
      </c>
      <c r="E135" s="129">
        <f t="shared" si="23"/>
        <v>1.1577101023814429</v>
      </c>
      <c r="F135" s="129">
        <f t="shared" si="23"/>
        <v>1.0514774825343578</v>
      </c>
      <c r="G135" s="129">
        <f t="shared" si="23"/>
        <v>0.92103549492284542</v>
      </c>
      <c r="H135" s="129">
        <f t="shared" si="23"/>
        <v>0.89174294127886811</v>
      </c>
      <c r="I135" s="129">
        <f t="shared" si="23"/>
        <v>0.8898849854539177</v>
      </c>
      <c r="J135" s="129">
        <f t="shared" si="23"/>
        <v>0.95805806680982208</v>
      </c>
      <c r="K135" s="129">
        <f t="shared" si="23"/>
        <v>1.0908350970544183</v>
      </c>
      <c r="L135" s="129">
        <f t="shared" si="23"/>
        <v>0.97274792787063435</v>
      </c>
      <c r="M135" s="129">
        <f t="shared" si="23"/>
        <v>1.0082348173538358</v>
      </c>
      <c r="N135" s="130"/>
      <c r="O135" s="131">
        <f t="shared" si="19"/>
        <v>0.02</v>
      </c>
      <c r="P135" s="131">
        <f t="shared" ref="P135:Q146" si="25">IFERROR(ROUND(C135/B135-1,2),"")</f>
        <v>-0.09</v>
      </c>
      <c r="Q135" s="131">
        <f t="shared" si="25"/>
        <v>0.17</v>
      </c>
      <c r="R135" s="131">
        <f t="shared" si="24"/>
        <v>0.06</v>
      </c>
      <c r="S135" s="131">
        <f t="shared" si="24"/>
        <v>-0.09</v>
      </c>
      <c r="T135" s="131">
        <f t="shared" si="24"/>
        <v>-0.12</v>
      </c>
      <c r="U135" s="131">
        <f t="shared" si="24"/>
        <v>-0.03</v>
      </c>
      <c r="V135" s="131">
        <f t="shared" si="24"/>
        <v>0</v>
      </c>
      <c r="W135" s="131">
        <f t="shared" si="24"/>
        <v>0.08</v>
      </c>
      <c r="X135" s="131">
        <f t="shared" si="24"/>
        <v>0.14000000000000001</v>
      </c>
      <c r="Y135" s="131">
        <f t="shared" si="24"/>
        <v>-0.11</v>
      </c>
      <c r="Z135" s="131">
        <f t="shared" si="24"/>
        <v>0.04</v>
      </c>
    </row>
    <row r="136" spans="1:26" x14ac:dyDescent="0.25">
      <c r="A136" s="128" t="str">
        <f t="shared" si="4"/>
        <v>Пироги сладкие</v>
      </c>
      <c r="B136" s="129">
        <f t="shared" si="23"/>
        <v>1.1059411747666601</v>
      </c>
      <c r="C136" s="129">
        <f t="shared" si="23"/>
        <v>0.96846045521680535</v>
      </c>
      <c r="D136" s="129">
        <f t="shared" si="23"/>
        <v>1.1006953192410762</v>
      </c>
      <c r="E136" s="129">
        <f t="shared" si="23"/>
        <v>1.1203779197962682</v>
      </c>
      <c r="F136" s="129">
        <f t="shared" si="23"/>
        <v>1.0482109305593699</v>
      </c>
      <c r="G136" s="129">
        <f t="shared" si="23"/>
        <v>0.88487004636298627</v>
      </c>
      <c r="H136" s="129">
        <f t="shared" si="23"/>
        <v>0.84422259230434737</v>
      </c>
      <c r="I136" s="129">
        <f t="shared" si="23"/>
        <v>0.8546234952158076</v>
      </c>
      <c r="J136" s="129">
        <f t="shared" si="23"/>
        <v>0.93458285740728264</v>
      </c>
      <c r="K136" s="129">
        <f t="shared" si="23"/>
        <v>1.1002759721566508</v>
      </c>
      <c r="L136" s="129">
        <f t="shared" si="23"/>
        <v>0.99181505146442051</v>
      </c>
      <c r="M136" s="129">
        <f t="shared" si="23"/>
        <v>1.0459241855083241</v>
      </c>
      <c r="N136" s="130"/>
      <c r="O136" s="131">
        <f t="shared" si="19"/>
        <v>0.06</v>
      </c>
      <c r="P136" s="131">
        <f t="shared" si="25"/>
        <v>-0.12</v>
      </c>
      <c r="Q136" s="131">
        <f t="shared" si="25"/>
        <v>0.14000000000000001</v>
      </c>
      <c r="R136" s="131">
        <f t="shared" si="24"/>
        <v>0.02</v>
      </c>
      <c r="S136" s="131">
        <f t="shared" si="24"/>
        <v>-0.06</v>
      </c>
      <c r="T136" s="131">
        <f t="shared" si="24"/>
        <v>-0.16</v>
      </c>
      <c r="U136" s="131">
        <f t="shared" si="24"/>
        <v>-0.05</v>
      </c>
      <c r="V136" s="131">
        <f t="shared" si="24"/>
        <v>0.01</v>
      </c>
      <c r="W136" s="131">
        <f t="shared" si="24"/>
        <v>0.09</v>
      </c>
      <c r="X136" s="131">
        <f t="shared" si="24"/>
        <v>0.18</v>
      </c>
      <c r="Y136" s="131">
        <f t="shared" si="24"/>
        <v>-0.1</v>
      </c>
      <c r="Z136" s="131">
        <f t="shared" si="24"/>
        <v>0.05</v>
      </c>
    </row>
    <row r="137" spans="1:26" x14ac:dyDescent="0.25">
      <c r="A137" s="128" t="str">
        <f t="shared" si="4"/>
        <v>Пирожки сладкие</v>
      </c>
      <c r="B137" s="129">
        <f t="shared" si="23"/>
        <v>0.94426884296945224</v>
      </c>
      <c r="C137" s="129">
        <f t="shared" si="23"/>
        <v>0.8924600505060889</v>
      </c>
      <c r="D137" s="129">
        <f t="shared" si="23"/>
        <v>1.0850606156379716</v>
      </c>
      <c r="E137" s="129">
        <f t="shared" si="23"/>
        <v>1.2013247333068688</v>
      </c>
      <c r="F137" s="129">
        <f t="shared" si="23"/>
        <v>1.0552937463829233</v>
      </c>
      <c r="G137" s="129">
        <f t="shared" si="23"/>
        <v>0.96328704792519038</v>
      </c>
      <c r="H137" s="129">
        <f t="shared" si="23"/>
        <v>0.94726025471861885</v>
      </c>
      <c r="I137" s="129">
        <f t="shared" si="23"/>
        <v>0.93108045746005774</v>
      </c>
      <c r="J137" s="129">
        <f t="shared" si="23"/>
        <v>0.98548380308047467</v>
      </c>
      <c r="K137" s="129">
        <f t="shared" si="23"/>
        <v>1.0798054637813719</v>
      </c>
      <c r="L137" s="129">
        <f t="shared" si="23"/>
        <v>0.95047209236449692</v>
      </c>
      <c r="M137" s="129">
        <f t="shared" si="23"/>
        <v>0.96420289186648855</v>
      </c>
      <c r="N137" s="130"/>
      <c r="O137" s="131">
        <f t="shared" si="19"/>
        <v>-0.02</v>
      </c>
      <c r="P137" s="131">
        <f t="shared" si="25"/>
        <v>-0.05</v>
      </c>
      <c r="Q137" s="131">
        <f t="shared" si="25"/>
        <v>0.22</v>
      </c>
      <c r="R137" s="131">
        <f t="shared" si="24"/>
        <v>0.11</v>
      </c>
      <c r="S137" s="131">
        <f t="shared" si="24"/>
        <v>-0.12</v>
      </c>
      <c r="T137" s="131">
        <f t="shared" si="24"/>
        <v>-0.09</v>
      </c>
      <c r="U137" s="131">
        <f t="shared" si="24"/>
        <v>-0.02</v>
      </c>
      <c r="V137" s="131">
        <f t="shared" si="24"/>
        <v>-0.02</v>
      </c>
      <c r="W137" s="131">
        <f t="shared" si="24"/>
        <v>0.06</v>
      </c>
      <c r="X137" s="131">
        <f t="shared" si="24"/>
        <v>0.1</v>
      </c>
      <c r="Y137" s="131">
        <f t="shared" si="24"/>
        <v>-0.12</v>
      </c>
      <c r="Z137" s="131">
        <f t="shared" si="24"/>
        <v>0.01</v>
      </c>
    </row>
    <row r="138" spans="1:26" x14ac:dyDescent="0.25">
      <c r="A138" s="128" t="str">
        <f t="shared" si="4"/>
        <v>Изделия из слоенного дрожжевого теста</v>
      </c>
      <c r="B138" s="129">
        <f t="shared" si="23"/>
        <v>0.95831165237481897</v>
      </c>
      <c r="C138" s="129">
        <f t="shared" si="23"/>
        <v>0.89181496726209564</v>
      </c>
      <c r="D138" s="129">
        <f t="shared" si="23"/>
        <v>0.98867598647321819</v>
      </c>
      <c r="E138" s="129">
        <f t="shared" si="23"/>
        <v>0.91461108479925457</v>
      </c>
      <c r="F138" s="129">
        <f t="shared" si="23"/>
        <v>0.9411638633720657</v>
      </c>
      <c r="G138" s="129">
        <f t="shared" si="23"/>
        <v>0.93207894756637732</v>
      </c>
      <c r="H138" s="129">
        <f t="shared" si="23"/>
        <v>0.9251978645247908</v>
      </c>
      <c r="I138" s="129">
        <f t="shared" si="23"/>
        <v>0.96250349096916699</v>
      </c>
      <c r="J138" s="129">
        <f t="shared" si="23"/>
        <v>1.0637272701763802</v>
      </c>
      <c r="K138" s="129">
        <f t="shared" si="23"/>
        <v>1.2249000070885352</v>
      </c>
      <c r="L138" s="129">
        <f t="shared" si="23"/>
        <v>1.122640209315362</v>
      </c>
      <c r="M138" s="129">
        <f t="shared" si="23"/>
        <v>1.0743746560779348</v>
      </c>
      <c r="N138" s="130"/>
      <c r="O138" s="131">
        <f t="shared" si="19"/>
        <v>-0.11</v>
      </c>
      <c r="P138" s="131">
        <f t="shared" si="25"/>
        <v>-7.0000000000000007E-2</v>
      </c>
      <c r="Q138" s="131">
        <f t="shared" si="25"/>
        <v>0.11</v>
      </c>
      <c r="R138" s="131">
        <f t="shared" si="24"/>
        <v>-7.0000000000000007E-2</v>
      </c>
      <c r="S138" s="131">
        <f t="shared" si="24"/>
        <v>0.03</v>
      </c>
      <c r="T138" s="131">
        <f t="shared" si="24"/>
        <v>-0.01</v>
      </c>
      <c r="U138" s="131">
        <f t="shared" si="24"/>
        <v>-0.01</v>
      </c>
      <c r="V138" s="131">
        <f t="shared" si="24"/>
        <v>0.04</v>
      </c>
      <c r="W138" s="131">
        <f t="shared" si="24"/>
        <v>0.11</v>
      </c>
      <c r="X138" s="131">
        <f t="shared" si="24"/>
        <v>0.15</v>
      </c>
      <c r="Y138" s="131">
        <f t="shared" si="24"/>
        <v>-0.08</v>
      </c>
      <c r="Z138" s="131">
        <f t="shared" si="24"/>
        <v>-0.04</v>
      </c>
    </row>
    <row r="139" spans="1:26" x14ac:dyDescent="0.25">
      <c r="A139" s="128" t="str">
        <f t="shared" si="4"/>
        <v>Свадебный товар</v>
      </c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30"/>
      <c r="O139" s="131" t="str">
        <f t="shared" si="19"/>
        <v/>
      </c>
      <c r="P139" s="131" t="str">
        <f t="shared" si="25"/>
        <v/>
      </c>
      <c r="Q139" s="131" t="str">
        <f t="shared" si="25"/>
        <v/>
      </c>
      <c r="R139" s="131" t="str">
        <f t="shared" si="24"/>
        <v/>
      </c>
      <c r="S139" s="131" t="str">
        <f t="shared" si="24"/>
        <v/>
      </c>
      <c r="T139" s="131" t="str">
        <f t="shared" si="24"/>
        <v/>
      </c>
      <c r="U139" s="131" t="str">
        <f t="shared" si="24"/>
        <v/>
      </c>
      <c r="V139" s="131" t="str">
        <f t="shared" si="24"/>
        <v/>
      </c>
      <c r="W139" s="131" t="str">
        <f t="shared" si="24"/>
        <v/>
      </c>
      <c r="X139" s="131" t="str">
        <f t="shared" si="24"/>
        <v/>
      </c>
      <c r="Y139" s="131" t="str">
        <f t="shared" si="24"/>
        <v/>
      </c>
      <c r="Z139" s="131" t="str">
        <f t="shared" si="24"/>
        <v/>
      </c>
    </row>
    <row r="140" spans="1:26" x14ac:dyDescent="0.25">
      <c r="A140" s="128" t="str">
        <f t="shared" si="4"/>
        <v>Хлебобулочные изделия</v>
      </c>
      <c r="B140" s="129">
        <f t="shared" ref="B140:M146" si="26">B66/$O66</f>
        <v>1.0627627736411478</v>
      </c>
      <c r="C140" s="129">
        <f t="shared" si="26"/>
        <v>0.94640362726557092</v>
      </c>
      <c r="D140" s="129">
        <f t="shared" si="26"/>
        <v>1.0864523325854571</v>
      </c>
      <c r="E140" s="129">
        <f t="shared" si="26"/>
        <v>1.0022966000687454</v>
      </c>
      <c r="F140" s="129">
        <f t="shared" si="26"/>
        <v>0.99390303981612749</v>
      </c>
      <c r="G140" s="129">
        <f t="shared" si="26"/>
        <v>0.90213402577545154</v>
      </c>
      <c r="H140" s="129">
        <f t="shared" si="26"/>
        <v>0.90942830060671265</v>
      </c>
      <c r="I140" s="129">
        <f t="shared" si="26"/>
        <v>0.90099635211572071</v>
      </c>
      <c r="J140" s="129">
        <f t="shared" si="26"/>
        <v>0.95352642023830403</v>
      </c>
      <c r="K140" s="129">
        <f t="shared" si="26"/>
        <v>1.0715017071312958</v>
      </c>
      <c r="L140" s="129">
        <f t="shared" si="26"/>
        <v>1.0066501088101727</v>
      </c>
      <c r="M140" s="129">
        <f t="shared" si="26"/>
        <v>1.1639447119452917</v>
      </c>
      <c r="N140" s="130"/>
      <c r="O140" s="131">
        <f t="shared" si="19"/>
        <v>-0.09</v>
      </c>
      <c r="P140" s="131">
        <f t="shared" si="25"/>
        <v>-0.11</v>
      </c>
      <c r="Q140" s="131">
        <f t="shared" si="25"/>
        <v>0.15</v>
      </c>
      <c r="R140" s="131">
        <f t="shared" si="24"/>
        <v>-0.08</v>
      </c>
      <c r="S140" s="131">
        <f t="shared" si="24"/>
        <v>-0.01</v>
      </c>
      <c r="T140" s="131">
        <f t="shared" si="24"/>
        <v>-0.09</v>
      </c>
      <c r="U140" s="131">
        <f t="shared" si="24"/>
        <v>0.01</v>
      </c>
      <c r="V140" s="131">
        <f t="shared" si="24"/>
        <v>-0.01</v>
      </c>
      <c r="W140" s="131">
        <f t="shared" si="24"/>
        <v>0.06</v>
      </c>
      <c r="X140" s="131">
        <f t="shared" si="24"/>
        <v>0.12</v>
      </c>
      <c r="Y140" s="131">
        <f t="shared" si="24"/>
        <v>-0.06</v>
      </c>
      <c r="Z140" s="131">
        <f t="shared" si="24"/>
        <v>0.16</v>
      </c>
    </row>
    <row r="141" spans="1:26" x14ac:dyDescent="0.25">
      <c r="A141" s="124" t="str">
        <f t="shared" ref="A141:A146" si="27">A67</f>
        <v>Напитки собственного производства</v>
      </c>
      <c r="B141" s="125">
        <f t="shared" si="26"/>
        <v>0.77956197486484169</v>
      </c>
      <c r="C141" s="125">
        <f t="shared" si="26"/>
        <v>0.76687267343714538</v>
      </c>
      <c r="D141" s="125">
        <f t="shared" si="26"/>
        <v>0.95902354387433641</v>
      </c>
      <c r="E141" s="125">
        <f t="shared" si="26"/>
        <v>0.92355856124738844</v>
      </c>
      <c r="F141" s="125">
        <f t="shared" si="26"/>
        <v>0.93030942791576654</v>
      </c>
      <c r="G141" s="125">
        <f t="shared" si="26"/>
        <v>0.99263780120937184</v>
      </c>
      <c r="H141" s="125">
        <f t="shared" si="26"/>
        <v>0.97731529290248553</v>
      </c>
      <c r="I141" s="125">
        <f t="shared" si="26"/>
        <v>1.0404688223235874</v>
      </c>
      <c r="J141" s="125">
        <f t="shared" si="26"/>
        <v>1.1297354681774197</v>
      </c>
      <c r="K141" s="125">
        <f t="shared" si="26"/>
        <v>1.2286373493210467</v>
      </c>
      <c r="L141" s="125">
        <f t="shared" si="26"/>
        <v>1.0978964964616522</v>
      </c>
      <c r="M141" s="125">
        <f t="shared" si="26"/>
        <v>1.1739825882649595</v>
      </c>
      <c r="N141" s="126"/>
      <c r="O141" s="127">
        <f t="shared" si="19"/>
        <v>-0.34</v>
      </c>
      <c r="P141" s="127">
        <f t="shared" si="25"/>
        <v>-0.02</v>
      </c>
      <c r="Q141" s="127">
        <f t="shared" si="25"/>
        <v>0.25</v>
      </c>
      <c r="R141" s="127">
        <f t="shared" si="24"/>
        <v>-0.04</v>
      </c>
      <c r="S141" s="127">
        <f t="shared" si="24"/>
        <v>0.01</v>
      </c>
      <c r="T141" s="127">
        <f t="shared" si="24"/>
        <v>7.0000000000000007E-2</v>
      </c>
      <c r="U141" s="127">
        <f t="shared" si="24"/>
        <v>-0.02</v>
      </c>
      <c r="V141" s="127">
        <f t="shared" si="24"/>
        <v>0.06</v>
      </c>
      <c r="W141" s="127">
        <f t="shared" si="24"/>
        <v>0.09</v>
      </c>
      <c r="X141" s="127">
        <f t="shared" si="24"/>
        <v>0.09</v>
      </c>
      <c r="Y141" s="127">
        <f t="shared" si="24"/>
        <v>-0.11</v>
      </c>
      <c r="Z141" s="127">
        <f t="shared" si="24"/>
        <v>7.0000000000000007E-2</v>
      </c>
    </row>
    <row r="142" spans="1:26" x14ac:dyDescent="0.25">
      <c r="A142" s="128" t="str">
        <f t="shared" si="27"/>
        <v>Коктейли</v>
      </c>
      <c r="B142" s="129">
        <f t="shared" si="26"/>
        <v>0.46747426105426437</v>
      </c>
      <c r="C142" s="129">
        <f t="shared" si="26"/>
        <v>0.4206614826264079</v>
      </c>
      <c r="D142" s="129">
        <f t="shared" si="26"/>
        <v>0.80997691601197075</v>
      </c>
      <c r="E142" s="129">
        <f t="shared" si="26"/>
        <v>1.0292428246626995</v>
      </c>
      <c r="F142" s="129">
        <f t="shared" si="26"/>
        <v>1.3401575707647737</v>
      </c>
      <c r="G142" s="129">
        <f t="shared" si="26"/>
        <v>1.5609952964615683</v>
      </c>
      <c r="H142" s="129">
        <f t="shared" si="26"/>
        <v>1.6436241225316077</v>
      </c>
      <c r="I142" s="129">
        <f t="shared" si="26"/>
        <v>1.6987492218353313</v>
      </c>
      <c r="J142" s="129">
        <f t="shared" si="26"/>
        <v>1.3592329149487026</v>
      </c>
      <c r="K142" s="129">
        <f t="shared" si="26"/>
        <v>0.68792396820292723</v>
      </c>
      <c r="L142" s="129">
        <f t="shared" si="26"/>
        <v>0.45602346766407686</v>
      </c>
      <c r="M142" s="129">
        <f t="shared" si="26"/>
        <v>0.52593795323566972</v>
      </c>
      <c r="N142" s="130"/>
      <c r="O142" s="131">
        <f t="shared" si="19"/>
        <v>-0.11</v>
      </c>
      <c r="P142" s="131">
        <f t="shared" si="25"/>
        <v>-0.1</v>
      </c>
      <c r="Q142" s="131">
        <f t="shared" si="25"/>
        <v>0.93</v>
      </c>
      <c r="R142" s="131">
        <f t="shared" si="24"/>
        <v>0.27</v>
      </c>
      <c r="S142" s="131">
        <f t="shared" si="24"/>
        <v>0.3</v>
      </c>
      <c r="T142" s="131">
        <f t="shared" si="24"/>
        <v>0.16</v>
      </c>
      <c r="U142" s="131">
        <f t="shared" si="24"/>
        <v>0.05</v>
      </c>
      <c r="V142" s="131">
        <f t="shared" si="24"/>
        <v>0.03</v>
      </c>
      <c r="W142" s="131">
        <f t="shared" si="24"/>
        <v>-0.2</v>
      </c>
      <c r="X142" s="131">
        <f t="shared" si="24"/>
        <v>-0.49</v>
      </c>
      <c r="Y142" s="131">
        <f t="shared" si="24"/>
        <v>-0.34</v>
      </c>
      <c r="Z142" s="131">
        <f t="shared" si="24"/>
        <v>0.15</v>
      </c>
    </row>
    <row r="143" spans="1:26" x14ac:dyDescent="0.25">
      <c r="A143" s="128" t="str">
        <f t="shared" si="27"/>
        <v>Предложение к чаю</v>
      </c>
      <c r="B143" s="129">
        <f t="shared" si="26"/>
        <v>0.96388702668709358</v>
      </c>
      <c r="C143" s="129">
        <f t="shared" si="26"/>
        <v>1.999965737385498</v>
      </c>
      <c r="D143" s="129">
        <f t="shared" si="26"/>
        <v>1.057894707736579</v>
      </c>
      <c r="E143" s="129">
        <f t="shared" si="26"/>
        <v>0.8808433259443893</v>
      </c>
      <c r="F143" s="129">
        <f t="shared" si="26"/>
        <v>0.730474659809208</v>
      </c>
      <c r="G143" s="129">
        <f t="shared" si="26"/>
        <v>0.76041329736367802</v>
      </c>
      <c r="H143" s="129">
        <f t="shared" si="26"/>
        <v>0.68509983649334139</v>
      </c>
      <c r="I143" s="129">
        <f t="shared" si="26"/>
        <v>0.8890267014190314</v>
      </c>
      <c r="J143" s="129">
        <f t="shared" si="26"/>
        <v>1.2582450758107508</v>
      </c>
      <c r="K143" s="129">
        <f t="shared" si="26"/>
        <v>1.5851660408195327</v>
      </c>
      <c r="L143" s="129">
        <f t="shared" si="26"/>
        <v>0</v>
      </c>
      <c r="M143" s="129">
        <f t="shared" si="26"/>
        <v>1.1889835905308976</v>
      </c>
      <c r="N143" s="130"/>
      <c r="O143" s="131">
        <f t="shared" si="19"/>
        <v>-0.19</v>
      </c>
      <c r="P143" s="131">
        <f t="shared" si="25"/>
        <v>1.07</v>
      </c>
      <c r="Q143" s="131">
        <f t="shared" si="25"/>
        <v>-0.47</v>
      </c>
      <c r="R143" s="131">
        <f t="shared" si="24"/>
        <v>-0.17</v>
      </c>
      <c r="S143" s="131">
        <f t="shared" si="24"/>
        <v>-0.17</v>
      </c>
      <c r="T143" s="131">
        <f t="shared" si="24"/>
        <v>0.04</v>
      </c>
      <c r="U143" s="131">
        <f t="shared" si="24"/>
        <v>-0.1</v>
      </c>
      <c r="V143" s="131">
        <f t="shared" si="24"/>
        <v>0.3</v>
      </c>
      <c r="W143" s="131">
        <f t="shared" si="24"/>
        <v>0.42</v>
      </c>
      <c r="X143" s="131">
        <f t="shared" si="24"/>
        <v>0.26</v>
      </c>
      <c r="Y143" s="131">
        <f t="shared" si="24"/>
        <v>-1</v>
      </c>
      <c r="Z143" s="131" t="str">
        <f t="shared" si="24"/>
        <v/>
      </c>
    </row>
    <row r="144" spans="1:26" x14ac:dyDescent="0.25">
      <c r="A144" s="128" t="str">
        <f t="shared" si="27"/>
        <v>Фреши</v>
      </c>
      <c r="B144" s="129">
        <f t="shared" si="26"/>
        <v>0.13374852803034309</v>
      </c>
      <c r="C144" s="129">
        <f t="shared" si="26"/>
        <v>0.14780691944183538</v>
      </c>
      <c r="D144" s="129">
        <f t="shared" si="26"/>
        <v>0.57562974857063243</v>
      </c>
      <c r="E144" s="129">
        <f t="shared" si="26"/>
        <v>0.68358098576653703</v>
      </c>
      <c r="F144" s="129">
        <f t="shared" si="26"/>
        <v>0.94347655997783819</v>
      </c>
      <c r="G144" s="129">
        <f t="shared" si="26"/>
        <v>2.1877023123055239</v>
      </c>
      <c r="H144" s="129">
        <f t="shared" si="26"/>
        <v>2.5799908539493037</v>
      </c>
      <c r="I144" s="129">
        <f t="shared" si="26"/>
        <v>2.6702972513306471</v>
      </c>
      <c r="J144" s="129">
        <f t="shared" si="26"/>
        <v>1.188768323398508</v>
      </c>
      <c r="K144" s="129">
        <f t="shared" si="26"/>
        <v>0.38032678441428841</v>
      </c>
      <c r="L144" s="129">
        <f t="shared" si="26"/>
        <v>0.25638124165770254</v>
      </c>
      <c r="M144" s="129">
        <f t="shared" si="26"/>
        <v>0.25229049115684232</v>
      </c>
      <c r="N144" s="130"/>
      <c r="O144" s="131">
        <f t="shared" si="19"/>
        <v>-0.47</v>
      </c>
      <c r="P144" s="131">
        <f t="shared" si="25"/>
        <v>0.11</v>
      </c>
      <c r="Q144" s="131">
        <f t="shared" si="25"/>
        <v>2.89</v>
      </c>
      <c r="R144" s="131">
        <f t="shared" si="24"/>
        <v>0.19</v>
      </c>
      <c r="S144" s="131">
        <f t="shared" si="24"/>
        <v>0.38</v>
      </c>
      <c r="T144" s="131">
        <f t="shared" si="24"/>
        <v>1.32</v>
      </c>
      <c r="U144" s="131">
        <f t="shared" si="24"/>
        <v>0.18</v>
      </c>
      <c r="V144" s="131">
        <f t="shared" si="24"/>
        <v>0.04</v>
      </c>
      <c r="W144" s="131">
        <f t="shared" si="24"/>
        <v>-0.55000000000000004</v>
      </c>
      <c r="X144" s="131">
        <f t="shared" si="24"/>
        <v>-0.68</v>
      </c>
      <c r="Y144" s="131">
        <f t="shared" si="24"/>
        <v>-0.33</v>
      </c>
      <c r="Z144" s="131">
        <f t="shared" si="24"/>
        <v>-0.02</v>
      </c>
    </row>
    <row r="145" spans="1:26" x14ac:dyDescent="0.25">
      <c r="A145" s="128" t="str">
        <f t="shared" si="27"/>
        <v>Чай и кофе в фарфоровой посуде</v>
      </c>
      <c r="B145" s="129">
        <f t="shared" si="26"/>
        <v>0.8904621270667169</v>
      </c>
      <c r="C145" s="129">
        <f t="shared" si="26"/>
        <v>0.85606104569140973</v>
      </c>
      <c r="D145" s="129">
        <f t="shared" si="26"/>
        <v>1.066454888075967</v>
      </c>
      <c r="E145" s="129">
        <f t="shared" si="26"/>
        <v>1.0160813946674303</v>
      </c>
      <c r="F145" s="129">
        <f t="shared" si="26"/>
        <v>0.87148779094800688</v>
      </c>
      <c r="G145" s="129">
        <f t="shared" si="26"/>
        <v>0.82518633721847379</v>
      </c>
      <c r="H145" s="129">
        <f t="shared" si="26"/>
        <v>0.82084371130657552</v>
      </c>
      <c r="I145" s="129">
        <f t="shared" si="26"/>
        <v>0.83247103681212564</v>
      </c>
      <c r="J145" s="129">
        <f t="shared" si="26"/>
        <v>1.1025832867998564</v>
      </c>
      <c r="K145" s="129">
        <f t="shared" si="26"/>
        <v>1.2985111573629708</v>
      </c>
      <c r="L145" s="129">
        <f t="shared" si="26"/>
        <v>1.1878112731836805</v>
      </c>
      <c r="M145" s="129">
        <f t="shared" si="26"/>
        <v>1.2320459508667869</v>
      </c>
      <c r="N145" s="130"/>
      <c r="O145" s="131">
        <f t="shared" si="19"/>
        <v>-0.28000000000000003</v>
      </c>
      <c r="P145" s="131">
        <f t="shared" si="25"/>
        <v>-0.04</v>
      </c>
      <c r="Q145" s="131">
        <f t="shared" si="25"/>
        <v>0.25</v>
      </c>
      <c r="R145" s="131">
        <f t="shared" si="24"/>
        <v>-0.05</v>
      </c>
      <c r="S145" s="131">
        <f t="shared" si="24"/>
        <v>-0.14000000000000001</v>
      </c>
      <c r="T145" s="131">
        <f t="shared" si="24"/>
        <v>-0.05</v>
      </c>
      <c r="U145" s="131">
        <f t="shared" si="24"/>
        <v>-0.01</v>
      </c>
      <c r="V145" s="131">
        <f t="shared" si="24"/>
        <v>0.01</v>
      </c>
      <c r="W145" s="131">
        <f t="shared" si="24"/>
        <v>0.32</v>
      </c>
      <c r="X145" s="131">
        <f t="shared" si="24"/>
        <v>0.18</v>
      </c>
      <c r="Y145" s="131">
        <f t="shared" si="24"/>
        <v>-0.09</v>
      </c>
      <c r="Z145" s="131">
        <f t="shared" si="24"/>
        <v>0.04</v>
      </c>
    </row>
    <row r="146" spans="1:26" x14ac:dyDescent="0.25">
      <c r="A146" s="128" t="str">
        <f t="shared" si="27"/>
        <v>Чай и кофе на вынос</v>
      </c>
      <c r="B146" s="129">
        <f t="shared" si="26"/>
        <v>0.77775670875907821</v>
      </c>
      <c r="C146" s="129">
        <f t="shared" si="26"/>
        <v>0.7858652570788438</v>
      </c>
      <c r="D146" s="129">
        <f t="shared" si="26"/>
        <v>0.89312152868645767</v>
      </c>
      <c r="E146" s="129">
        <f t="shared" si="26"/>
        <v>0.81794232949383539</v>
      </c>
      <c r="F146" s="129">
        <f t="shared" si="26"/>
        <v>0.95873169659723712</v>
      </c>
      <c r="G146" s="129">
        <f t="shared" si="26"/>
        <v>0.94779601643278832</v>
      </c>
      <c r="H146" s="129">
        <f t="shared" si="26"/>
        <v>0.8301484037084883</v>
      </c>
      <c r="I146" s="129">
        <f t="shared" si="26"/>
        <v>0.96394923367440311</v>
      </c>
      <c r="J146" s="129">
        <f t="shared" si="26"/>
        <v>1.1271620465638423</v>
      </c>
      <c r="K146" s="129">
        <f t="shared" si="26"/>
        <v>1.339105851950122</v>
      </c>
      <c r="L146" s="129">
        <f t="shared" si="26"/>
        <v>1.2078420879121261</v>
      </c>
      <c r="M146" s="129">
        <f t="shared" si="26"/>
        <v>1.3505788391427775</v>
      </c>
      <c r="N146" s="130"/>
      <c r="O146" s="131">
        <f t="shared" si="19"/>
        <v>-0.42</v>
      </c>
      <c r="P146" s="131">
        <f t="shared" si="25"/>
        <v>0.01</v>
      </c>
      <c r="Q146" s="131">
        <f t="shared" si="25"/>
        <v>0.14000000000000001</v>
      </c>
      <c r="R146" s="131">
        <f t="shared" si="24"/>
        <v>-0.08</v>
      </c>
      <c r="S146" s="131">
        <f t="shared" si="24"/>
        <v>0.17</v>
      </c>
      <c r="T146" s="131">
        <f t="shared" si="24"/>
        <v>-0.01</v>
      </c>
      <c r="U146" s="131">
        <f t="shared" si="24"/>
        <v>-0.12</v>
      </c>
      <c r="V146" s="131">
        <f t="shared" si="24"/>
        <v>0.16</v>
      </c>
      <c r="W146" s="131">
        <f t="shared" si="24"/>
        <v>0.17</v>
      </c>
      <c r="X146" s="131">
        <f t="shared" si="24"/>
        <v>0.19</v>
      </c>
      <c r="Y146" s="131">
        <f t="shared" si="24"/>
        <v>-0.1</v>
      </c>
      <c r="Z146" s="131">
        <f t="shared" si="24"/>
        <v>0.12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Пельменный</vt:lpstr>
      <vt:lpstr>Шокер</vt:lpstr>
      <vt:lpstr>Слойка</vt:lpstr>
      <vt:lpstr>Морсы</vt:lpstr>
      <vt:lpstr>Пирожковый</vt:lpstr>
      <vt:lpstr>Лист1</vt:lpstr>
      <vt:lpstr>Торты</vt:lpstr>
      <vt:lpstr>Прирост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Мишин Денис Александрович</dc:creator>
  <cp:lastModifiedBy>Мишин Денис Александрович</cp:lastModifiedBy>
  <cp:lastPrinted>2018-09-18T07:31:29Z</cp:lastPrinted>
  <dcterms:created xsi:type="dcterms:W3CDTF">2018-08-22T14:18:10Z</dcterms:created>
  <dcterms:modified xsi:type="dcterms:W3CDTF">2018-09-28T14:42:37Z</dcterms:modified>
</cp:coreProperties>
</file>