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os1dta1\gelina$\desktop\"/>
    </mc:Choice>
  </mc:AlternateContent>
  <bookViews>
    <workbookView xWindow="-15" yWindow="-15" windowWidth="16935" windowHeight="11115" activeTab="1"/>
  </bookViews>
  <sheets>
    <sheet name="macro" sheetId="3" r:id="rId1"/>
    <sheet name="charts" sheetId="2" r:id="rId2"/>
    <sheet name="data" sheetId="1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50" i="1" l="1"/>
  <c r="BA49" i="1"/>
  <c r="BA48" i="1"/>
  <c r="C250" i="2"/>
  <c r="C249" i="2"/>
  <c r="C248" i="2"/>
  <c r="AK100" i="1" l="1"/>
  <c r="D100" i="1"/>
  <c r="G100" i="1"/>
  <c r="J100" i="1"/>
  <c r="M100" i="1"/>
  <c r="P100" i="1"/>
  <c r="S100" i="1"/>
  <c r="V100" i="1"/>
  <c r="Y100" i="1"/>
  <c r="AB100" i="1"/>
  <c r="AE100" i="1"/>
  <c r="AH100" i="1"/>
  <c r="AN100" i="1"/>
  <c r="AR100" i="1"/>
  <c r="AU100" i="1"/>
  <c r="AX100" i="1"/>
  <c r="BA100" i="1"/>
  <c r="BD100" i="1"/>
  <c r="AX94" i="1"/>
  <c r="AU94" i="1"/>
  <c r="AU95" i="1"/>
  <c r="AU51" i="1"/>
  <c r="AU50" i="1"/>
  <c r="AU49" i="1"/>
  <c r="AU48" i="1"/>
  <c r="AR95" i="1"/>
  <c r="AR94" i="1"/>
  <c r="AR49" i="1"/>
  <c r="AR48" i="1"/>
  <c r="AR51" i="1"/>
  <c r="AR50" i="1"/>
  <c r="C234" i="2"/>
  <c r="C232" i="2"/>
  <c r="C233" i="2"/>
  <c r="C231" i="2"/>
  <c r="C230" i="2"/>
  <c r="C229" i="2"/>
  <c r="C235" i="2"/>
  <c r="AN50" i="1"/>
  <c r="AK50" i="1"/>
  <c r="AH50" i="1"/>
  <c r="AE50" i="1" l="1"/>
  <c r="AB50" i="1"/>
  <c r="Y50" i="1"/>
  <c r="V50" i="1"/>
  <c r="C210" i="2"/>
  <c r="C247" i="2"/>
  <c r="C244" i="2"/>
  <c r="M93" i="1"/>
  <c r="P93" i="1"/>
  <c r="M94" i="1"/>
  <c r="P94" i="1"/>
  <c r="M95" i="1"/>
  <c r="M96" i="1"/>
  <c r="P97" i="1"/>
  <c r="M97" i="1"/>
  <c r="G180" i="2"/>
  <c r="E179" i="2"/>
  <c r="E180" i="2"/>
  <c r="P74" i="1"/>
  <c r="M73" i="1"/>
  <c r="P73" i="1"/>
  <c r="M74" i="1"/>
  <c r="M77" i="1" s="1"/>
  <c r="M75" i="1"/>
  <c r="P75" i="1"/>
  <c r="M76" i="1"/>
  <c r="D179" i="2"/>
  <c r="C179" i="2"/>
  <c r="G179" i="2" s="1"/>
  <c r="D180" i="2"/>
  <c r="C180" i="2"/>
  <c r="D141" i="2"/>
  <c r="C141" i="2"/>
  <c r="D143" i="2"/>
  <c r="C143" i="2"/>
  <c r="P77" i="1" l="1"/>
  <c r="P76" i="1"/>
  <c r="C112" i="2" l="1"/>
  <c r="C113" i="2"/>
  <c r="D86" i="2"/>
  <c r="C86" i="2"/>
  <c r="D88" i="2"/>
  <c r="C88" i="2"/>
  <c r="C57" i="2"/>
  <c r="C53" i="2"/>
  <c r="P85" i="1"/>
  <c r="M85" i="1"/>
  <c r="C22" i="2"/>
  <c r="C23" i="2"/>
  <c r="M69" i="1"/>
  <c r="P69" i="1"/>
  <c r="M66" i="1"/>
  <c r="P66" i="1"/>
  <c r="M63" i="1"/>
  <c r="P63" i="1"/>
  <c r="M64" i="1"/>
  <c r="P64" i="1"/>
  <c r="M56" i="1"/>
  <c r="P56" i="1"/>
  <c r="M57" i="1"/>
  <c r="P57" i="1"/>
  <c r="M58" i="1"/>
  <c r="P58" i="1"/>
  <c r="M59" i="1"/>
  <c r="P59" i="1"/>
  <c r="M60" i="1"/>
  <c r="P60" i="1"/>
  <c r="Q7" i="1"/>
  <c r="Q6" i="1"/>
  <c r="Q5" i="1"/>
  <c r="P50" i="1"/>
  <c r="O50" i="1"/>
  <c r="P49" i="1"/>
  <c r="O49" i="1"/>
  <c r="P43" i="1"/>
  <c r="O43" i="1"/>
  <c r="P31" i="1"/>
  <c r="O31" i="1"/>
  <c r="P28" i="1"/>
  <c r="P24" i="1"/>
  <c r="P17" i="1"/>
  <c r="O17" i="1"/>
  <c r="M50" i="1"/>
  <c r="L50" i="1"/>
  <c r="M49" i="1"/>
  <c r="L49" i="1"/>
  <c r="M46" i="1"/>
  <c r="M43" i="1"/>
  <c r="L43" i="1"/>
  <c r="M28" i="1"/>
  <c r="M24" i="1"/>
  <c r="M18" i="1"/>
  <c r="L18" i="1"/>
  <c r="M17" i="1"/>
  <c r="L17" i="1"/>
  <c r="N7" i="1"/>
  <c r="N6" i="1"/>
  <c r="N5" i="1"/>
  <c r="J49" i="1"/>
  <c r="I49" i="1"/>
  <c r="G50" i="1"/>
  <c r="F50" i="1"/>
  <c r="G48" i="1"/>
  <c r="G49" i="1" s="1"/>
  <c r="F48" i="1"/>
  <c r="F49" i="1" s="1"/>
  <c r="J46" i="1"/>
  <c r="I46" i="1"/>
  <c r="F46" i="1"/>
  <c r="J43" i="1"/>
  <c r="I43" i="1"/>
  <c r="G43" i="1"/>
  <c r="F43" i="1"/>
  <c r="G30" i="1"/>
  <c r="F30" i="1"/>
  <c r="D50" i="1"/>
  <c r="C50" i="1"/>
  <c r="D49" i="1"/>
  <c r="C49" i="1"/>
  <c r="D48" i="1"/>
  <c r="C48" i="1"/>
  <c r="C46" i="1"/>
  <c r="D43" i="1"/>
  <c r="C43" i="1"/>
  <c r="D30" i="1"/>
  <c r="C30" i="1"/>
  <c r="E88" i="2" l="1"/>
  <c r="E86" i="2"/>
  <c r="C215" i="2" l="1"/>
  <c r="C216" i="2"/>
  <c r="C217" i="2"/>
  <c r="C213" i="2"/>
  <c r="C211" i="2"/>
  <c r="C212" i="2"/>
  <c r="C209" i="2"/>
  <c r="C203" i="2"/>
  <c r="C208" i="2"/>
  <c r="C207" i="2"/>
  <c r="C206" i="2"/>
  <c r="C204" i="2"/>
  <c r="C205" i="2"/>
  <c r="C202" i="2"/>
  <c r="C200" i="2"/>
  <c r="C199" i="2"/>
  <c r="C201" i="2"/>
  <c r="C198" i="2"/>
  <c r="C197" i="2"/>
  <c r="C196" i="2"/>
  <c r="AH89" i="1"/>
  <c r="V31" i="1" l="1"/>
  <c r="V30" i="1"/>
  <c r="BZ97" i="1"/>
  <c r="BW97" i="1"/>
  <c r="BT97" i="1"/>
  <c r="BQ97" i="1"/>
  <c r="BN97" i="1"/>
  <c r="BK97" i="1"/>
  <c r="BH97" i="1"/>
  <c r="BE97" i="1"/>
  <c r="BZ50" i="1" l="1"/>
  <c r="BZ31" i="1" l="1"/>
  <c r="BY31" i="1"/>
  <c r="BW50" i="1"/>
  <c r="BW22" i="1"/>
  <c r="BT50" i="1" l="1"/>
  <c r="BT31" i="1"/>
  <c r="BS31" i="1"/>
  <c r="BE50" i="1"/>
  <c r="BE23" i="1"/>
  <c r="BQ50" i="1" l="1"/>
  <c r="C117" i="2" l="1"/>
  <c r="C119" i="2"/>
  <c r="C118" i="2"/>
  <c r="C116" i="2"/>
  <c r="C114" i="2"/>
  <c r="C115" i="2"/>
  <c r="C104" i="2"/>
  <c r="C102" i="2"/>
  <c r="C103" i="2"/>
  <c r="C100" i="2"/>
  <c r="C101" i="2"/>
  <c r="C99" i="2"/>
  <c r="AX89" i="1"/>
  <c r="AX50" i="1"/>
  <c r="AX49" i="1"/>
  <c r="AX95" i="1" s="1"/>
  <c r="AX48" i="1"/>
  <c r="G89" i="1" l="1"/>
  <c r="J89" i="1"/>
  <c r="S89" i="1"/>
  <c r="V89" i="1"/>
  <c r="Y89" i="1"/>
  <c r="AB89" i="1"/>
  <c r="AE89" i="1"/>
  <c r="AK89" i="1"/>
  <c r="AN89" i="1"/>
  <c r="AO89" i="1"/>
  <c r="AR89" i="1"/>
  <c r="AU89" i="1"/>
  <c r="BA89" i="1"/>
  <c r="BD89" i="1"/>
  <c r="BE89" i="1"/>
  <c r="BH89" i="1"/>
  <c r="BK89" i="1"/>
  <c r="BN89" i="1"/>
  <c r="BQ89" i="1"/>
  <c r="BT89" i="1"/>
  <c r="BW89" i="1"/>
  <c r="BZ89" i="1"/>
  <c r="D89" i="1"/>
  <c r="G97" i="1"/>
  <c r="C246" i="2" s="1"/>
  <c r="J97" i="1"/>
  <c r="C243" i="2" s="1"/>
  <c r="S97" i="1"/>
  <c r="V97" i="1"/>
  <c r="Y97" i="1"/>
  <c r="AB97" i="1"/>
  <c r="AE97" i="1"/>
  <c r="AH97" i="1"/>
  <c r="AK97" i="1"/>
  <c r="AN97" i="1"/>
  <c r="AR97" i="1"/>
  <c r="AU97" i="1"/>
  <c r="AX97" i="1"/>
  <c r="BA97" i="1"/>
  <c r="C240" i="2"/>
  <c r="D97" i="1"/>
  <c r="C245" i="2" s="1"/>
  <c r="G93" i="1"/>
  <c r="J93" i="1"/>
  <c r="S93" i="1"/>
  <c r="V93" i="1"/>
  <c r="Y93" i="1"/>
  <c r="AB93" i="1"/>
  <c r="AE93" i="1"/>
  <c r="AH93" i="1"/>
  <c r="AK93" i="1"/>
  <c r="AN93" i="1"/>
  <c r="AR93" i="1"/>
  <c r="AU93" i="1"/>
  <c r="AX93" i="1"/>
  <c r="BA93" i="1"/>
  <c r="BE93" i="1"/>
  <c r="D93" i="1"/>
  <c r="D148" i="2"/>
  <c r="D146" i="2"/>
  <c r="D147" i="2"/>
  <c r="D140" i="2"/>
  <c r="D139" i="2"/>
  <c r="D138" i="2"/>
  <c r="D137" i="2"/>
  <c r="D136" i="2"/>
  <c r="D135" i="2"/>
  <c r="D134" i="2"/>
  <c r="D133" i="2"/>
  <c r="D132" i="2"/>
  <c r="D131" i="2"/>
  <c r="D130" i="2"/>
  <c r="D128" i="2"/>
  <c r="D127" i="2"/>
  <c r="BA69" i="1"/>
  <c r="AR69" i="1"/>
  <c r="AU69" i="1"/>
  <c r="F69" i="1"/>
  <c r="C147" i="2"/>
  <c r="C146" i="2"/>
  <c r="AX31" i="1"/>
  <c r="AX30" i="1"/>
  <c r="BA31" i="1"/>
  <c r="BA30" i="1"/>
  <c r="BA43" i="1"/>
  <c r="BA45" i="1"/>
  <c r="AX63" i="1"/>
  <c r="AX64" i="1"/>
  <c r="AU31" i="1" l="1"/>
  <c r="AU30" i="1"/>
  <c r="AU63" i="1"/>
  <c r="AU64" i="1"/>
  <c r="AU45" i="1"/>
  <c r="AU43" i="1"/>
  <c r="AR43" i="1"/>
  <c r="AR22" i="1"/>
  <c r="C148" i="2"/>
  <c r="AR30" i="1"/>
  <c r="AR63" i="1"/>
  <c r="AR64" i="1"/>
  <c r="AR45" i="1"/>
  <c r="C132" i="2"/>
  <c r="C133" i="2"/>
  <c r="C129" i="2"/>
  <c r="C131" i="2"/>
  <c r="C127" i="2"/>
  <c r="C128" i="2"/>
  <c r="C130" i="2"/>
  <c r="C134" i="2"/>
  <c r="C136" i="2"/>
  <c r="C137" i="2"/>
  <c r="C139" i="2"/>
  <c r="C138" i="2"/>
  <c r="C140" i="2"/>
  <c r="C135" i="2"/>
  <c r="S66" i="1"/>
  <c r="V66" i="1"/>
  <c r="Y66" i="1"/>
  <c r="AB66" i="1"/>
  <c r="AE66" i="1"/>
  <c r="AH66" i="1"/>
  <c r="AK66" i="1"/>
  <c r="AN66" i="1"/>
  <c r="AR66" i="1"/>
  <c r="AU66" i="1"/>
  <c r="AX66" i="1"/>
  <c r="BA66" i="1"/>
  <c r="BD66" i="1"/>
  <c r="BE66" i="1"/>
  <c r="G66" i="1"/>
  <c r="J66" i="1"/>
  <c r="D66" i="1"/>
  <c r="C69" i="1"/>
  <c r="D69" i="1"/>
  <c r="G69" i="1"/>
  <c r="I69" i="1"/>
  <c r="J69" i="1"/>
  <c r="D56" i="1" l="1"/>
  <c r="D89" i="2"/>
  <c r="D87" i="2"/>
  <c r="D90" i="2"/>
  <c r="C89" i="2"/>
  <c r="C87" i="2"/>
  <c r="C90" i="2"/>
  <c r="E178" i="2"/>
  <c r="E177" i="2"/>
  <c r="E176" i="2"/>
  <c r="D178" i="2"/>
  <c r="D177" i="2"/>
  <c r="D176" i="2"/>
  <c r="C178" i="2"/>
  <c r="G178" i="2" s="1"/>
  <c r="C177" i="2"/>
  <c r="G177" i="2" s="1"/>
  <c r="C176" i="2"/>
  <c r="G176" i="2" s="1"/>
  <c r="C56" i="2"/>
  <c r="C54" i="2"/>
  <c r="C55" i="2"/>
  <c r="C19" i="2"/>
  <c r="K7" i="1"/>
  <c r="K6" i="1"/>
  <c r="K5" i="1"/>
  <c r="J96" i="1"/>
  <c r="J95" i="1"/>
  <c r="J94" i="1"/>
  <c r="J88" i="1"/>
  <c r="J85" i="1"/>
  <c r="J82" i="1"/>
  <c r="J81" i="1"/>
  <c r="J75" i="1"/>
  <c r="J73" i="1"/>
  <c r="J76" i="1" s="1"/>
  <c r="J64" i="1"/>
  <c r="D142" i="2" s="1"/>
  <c r="J63" i="1"/>
  <c r="C142" i="2" s="1"/>
  <c r="J60" i="1"/>
  <c r="J59" i="1"/>
  <c r="J58" i="1"/>
  <c r="J57" i="1"/>
  <c r="J56" i="1"/>
  <c r="J28" i="1"/>
  <c r="J24" i="1"/>
  <c r="J18" i="1"/>
  <c r="I18" i="1"/>
  <c r="J17" i="1"/>
  <c r="I17" i="1"/>
  <c r="C20" i="2"/>
  <c r="H7" i="1"/>
  <c r="H6" i="1"/>
  <c r="H5" i="1"/>
  <c r="G96" i="1"/>
  <c r="G95" i="1"/>
  <c r="G94" i="1"/>
  <c r="G88" i="1"/>
  <c r="G85" i="1"/>
  <c r="G82" i="1"/>
  <c r="G81" i="1"/>
  <c r="G75" i="1"/>
  <c r="G76" i="1" s="1"/>
  <c r="G73" i="1"/>
  <c r="G74" i="1" s="1"/>
  <c r="G64" i="1"/>
  <c r="D144" i="2" s="1"/>
  <c r="G63" i="1"/>
  <c r="C144" i="2" s="1"/>
  <c r="G60" i="1"/>
  <c r="G59" i="1"/>
  <c r="G58" i="1"/>
  <c r="G57" i="1"/>
  <c r="G56" i="1"/>
  <c r="G28" i="1"/>
  <c r="G24" i="1"/>
  <c r="G22" i="1"/>
  <c r="G18" i="1"/>
  <c r="F18" i="1"/>
  <c r="G17" i="1"/>
  <c r="F17" i="1"/>
  <c r="C21" i="2"/>
  <c r="E7" i="1"/>
  <c r="E6" i="1"/>
  <c r="E5" i="1"/>
  <c r="D96" i="1"/>
  <c r="D95" i="1"/>
  <c r="D94" i="1"/>
  <c r="D88" i="1"/>
  <c r="D85" i="1"/>
  <c r="D82" i="1"/>
  <c r="D81" i="1"/>
  <c r="D75" i="1"/>
  <c r="D73" i="1"/>
  <c r="D76" i="1" s="1"/>
  <c r="D64" i="1"/>
  <c r="D145" i="2" s="1"/>
  <c r="C64" i="1"/>
  <c r="D63" i="1"/>
  <c r="C145" i="2" s="1"/>
  <c r="C63" i="1"/>
  <c r="D60" i="1"/>
  <c r="D59" i="1"/>
  <c r="D58" i="1"/>
  <c r="D57" i="1"/>
  <c r="D18" i="1"/>
  <c r="C18" i="1"/>
  <c r="D17" i="1"/>
  <c r="C17" i="1"/>
  <c r="E90" i="2" l="1"/>
  <c r="E87" i="2"/>
  <c r="E89" i="2"/>
  <c r="J74" i="1"/>
  <c r="J77" i="1" s="1"/>
  <c r="G77" i="1"/>
  <c r="D74" i="1"/>
  <c r="D77" i="1" s="1"/>
  <c r="BH66" i="1" l="1"/>
  <c r="BK66" i="1"/>
  <c r="BN66" i="1"/>
  <c r="BQ66" i="1"/>
  <c r="BT66" i="1"/>
  <c r="BW66" i="1"/>
  <c r="BZ66" i="1"/>
  <c r="BH93" i="1"/>
  <c r="BK93" i="1"/>
  <c r="BN93" i="1"/>
  <c r="BQ93" i="1"/>
  <c r="BW93" i="1"/>
  <c r="BH100" i="1"/>
  <c r="BK100" i="1"/>
  <c r="BN100" i="1"/>
  <c r="BQ100" i="1"/>
  <c r="BT100" i="1"/>
  <c r="BW100" i="1"/>
  <c r="BZ100" i="1"/>
  <c r="BE100" i="1"/>
  <c r="C241" i="2"/>
  <c r="C238" i="2"/>
  <c r="C236" i="2"/>
  <c r="C239" i="2"/>
  <c r="C242" i="2"/>
  <c r="C237" i="2"/>
  <c r="C171" i="2" l="1"/>
  <c r="G171" i="2" s="1"/>
  <c r="C170" i="2"/>
  <c r="G170" i="2" s="1"/>
  <c r="C173" i="2"/>
  <c r="G173" i="2" s="1"/>
  <c r="C174" i="2"/>
  <c r="G174" i="2" s="1"/>
  <c r="C169" i="2"/>
  <c r="G169" i="2" s="1"/>
  <c r="C172" i="2"/>
  <c r="G172" i="2" s="1"/>
  <c r="C175" i="2"/>
  <c r="G175" i="2" s="1"/>
  <c r="C26" i="2"/>
  <c r="AW10" i="1"/>
  <c r="AW8" i="1"/>
  <c r="AW7" i="1"/>
  <c r="AW6" i="1"/>
  <c r="AU8" i="1"/>
  <c r="AT8" i="1"/>
  <c r="AU7" i="1"/>
  <c r="AV7" i="1" s="1"/>
  <c r="AT7" i="1"/>
  <c r="AT6" i="1"/>
  <c r="AS5" i="1"/>
  <c r="CA7" i="1" l="1"/>
  <c r="CA6" i="1"/>
  <c r="CA5" i="1"/>
  <c r="C18" i="2" s="1"/>
  <c r="BX7" i="1"/>
  <c r="BX6" i="1"/>
  <c r="BX5" i="1"/>
  <c r="C16" i="2" s="1"/>
  <c r="BU7" i="1"/>
  <c r="BU6" i="1"/>
  <c r="BU5" i="1"/>
  <c r="C12" i="2" s="1"/>
  <c r="BR7" i="1"/>
  <c r="BR6" i="1"/>
  <c r="BR5" i="1"/>
  <c r="BO7" i="1"/>
  <c r="BO6" i="1"/>
  <c r="BO5" i="1"/>
  <c r="C13" i="2" s="1"/>
  <c r="BL7" i="1"/>
  <c r="BL6" i="1"/>
  <c r="BL5" i="1"/>
  <c r="C14" i="2" s="1"/>
  <c r="BI7" i="1"/>
  <c r="BI6" i="1"/>
  <c r="BI5" i="1"/>
  <c r="C17" i="2" s="1"/>
  <c r="BF7" i="1"/>
  <c r="BF6" i="1"/>
  <c r="BF5" i="1"/>
  <c r="C15" i="2" s="1"/>
  <c r="BN4" i="1" l="1"/>
  <c r="BM4" i="1"/>
  <c r="BQ4" i="1"/>
  <c r="BP4" i="1"/>
  <c r="BZ4" i="1"/>
  <c r="BY4" i="1"/>
  <c r="BW4" i="1"/>
  <c r="BV4" i="1"/>
  <c r="BT4" i="1"/>
  <c r="BS4" i="1"/>
  <c r="BK4" i="1"/>
  <c r="BJ4" i="1"/>
  <c r="BH4" i="1"/>
  <c r="BG4" i="1"/>
  <c r="BE4" i="1"/>
  <c r="BD4" i="1"/>
  <c r="BN49" i="1"/>
  <c r="BQ27" i="1" l="1"/>
  <c r="BQ26" i="1"/>
  <c r="BQ23" i="1"/>
  <c r="BQ21" i="1"/>
  <c r="BQ49" i="1"/>
  <c r="BZ27" i="1" l="1"/>
  <c r="BZ26" i="1"/>
  <c r="BZ23" i="1"/>
  <c r="BZ21" i="1"/>
  <c r="BZ48" i="1"/>
  <c r="BZ49" i="1" l="1"/>
  <c r="BZ93" i="1"/>
  <c r="BW49" i="1"/>
  <c r="BT48" i="1" l="1"/>
  <c r="BT45" i="1"/>
  <c r="BT27" i="1"/>
  <c r="BT26" i="1"/>
  <c r="BT21" i="1"/>
  <c r="BK49" i="1"/>
  <c r="BT49" i="1" l="1"/>
  <c r="BT93" i="1"/>
  <c r="BH49" i="1"/>
  <c r="BN96" i="1" l="1"/>
  <c r="BN95" i="1"/>
  <c r="BN94" i="1"/>
  <c r="BQ96" i="1"/>
  <c r="BQ95" i="1"/>
  <c r="BQ94" i="1"/>
  <c r="BZ96" i="1"/>
  <c r="BZ95" i="1"/>
  <c r="BZ94" i="1"/>
  <c r="BW96" i="1"/>
  <c r="BW95" i="1"/>
  <c r="BW94" i="1"/>
  <c r="BT96" i="1"/>
  <c r="BT95" i="1"/>
  <c r="BT94" i="1"/>
  <c r="BK96" i="1"/>
  <c r="BK95" i="1"/>
  <c r="BK94" i="1"/>
  <c r="BH96" i="1"/>
  <c r="BH95" i="1"/>
  <c r="BH94" i="1"/>
  <c r="BE96" i="1"/>
  <c r="BN28" i="1"/>
  <c r="BQ28" i="1"/>
  <c r="BZ28" i="1"/>
  <c r="BW28" i="1"/>
  <c r="BT28" i="1"/>
  <c r="BK28" i="1"/>
  <c r="BH28" i="1"/>
  <c r="BN24" i="1"/>
  <c r="BQ24" i="1"/>
  <c r="BZ24" i="1"/>
  <c r="BW24" i="1"/>
  <c r="BT24" i="1"/>
  <c r="BK24" i="1"/>
  <c r="BH24" i="1"/>
  <c r="BE49" i="1"/>
  <c r="BE95" i="1" s="1"/>
  <c r="BE94" i="1" l="1"/>
  <c r="BN88" i="1"/>
  <c r="BN85" i="1"/>
  <c r="C52" i="2" s="1"/>
  <c r="BN82" i="1"/>
  <c r="BQ88" i="1"/>
  <c r="BQ85" i="1"/>
  <c r="BQ82" i="1"/>
  <c r="BZ88" i="1"/>
  <c r="BZ85" i="1"/>
  <c r="C50" i="2" s="1"/>
  <c r="BZ82" i="1"/>
  <c r="BW88" i="1"/>
  <c r="BW85" i="1"/>
  <c r="C47" i="2" s="1"/>
  <c r="BW82" i="1"/>
  <c r="BT88" i="1"/>
  <c r="BT85" i="1"/>
  <c r="C46" i="2" s="1"/>
  <c r="BT82" i="1"/>
  <c r="BK88" i="1"/>
  <c r="BK85" i="1"/>
  <c r="C49" i="2" s="1"/>
  <c r="BK82" i="1"/>
  <c r="BH88" i="1"/>
  <c r="BH85" i="1"/>
  <c r="C48" i="2" s="1"/>
  <c r="BH82" i="1"/>
  <c r="BE88" i="1"/>
  <c r="BE85" i="1"/>
  <c r="C51" i="2" s="1"/>
  <c r="BE82" i="1"/>
  <c r="BN75" i="1"/>
  <c r="BN73" i="1"/>
  <c r="BQ75" i="1"/>
  <c r="BQ73" i="1"/>
  <c r="BQ74" i="1" s="1"/>
  <c r="BQ77" i="1" s="1"/>
  <c r="BZ75" i="1"/>
  <c r="BZ73" i="1"/>
  <c r="BZ74" i="1" s="1"/>
  <c r="BW75" i="1"/>
  <c r="BW73" i="1"/>
  <c r="BT75" i="1"/>
  <c r="BT73" i="1"/>
  <c r="BK75" i="1"/>
  <c r="BK73" i="1"/>
  <c r="BK76" i="1" s="1"/>
  <c r="BH75" i="1"/>
  <c r="BH73" i="1"/>
  <c r="BH74" i="1" s="1"/>
  <c r="BN69" i="1"/>
  <c r="BQ69" i="1"/>
  <c r="BZ69" i="1"/>
  <c r="BW69" i="1"/>
  <c r="BT69" i="1"/>
  <c r="BK69" i="1"/>
  <c r="BH69" i="1"/>
  <c r="BE69" i="1"/>
  <c r="BN64" i="1"/>
  <c r="BN63" i="1"/>
  <c r="BQ64" i="1"/>
  <c r="BQ63" i="1"/>
  <c r="BZ64" i="1"/>
  <c r="BZ63" i="1"/>
  <c r="BW64" i="1"/>
  <c r="BW63" i="1"/>
  <c r="BT64" i="1"/>
  <c r="BT63" i="1"/>
  <c r="BK64" i="1"/>
  <c r="BK63" i="1"/>
  <c r="BH64" i="1"/>
  <c r="BH63" i="1"/>
  <c r="BE64" i="1"/>
  <c r="BE63" i="1"/>
  <c r="BN60" i="1"/>
  <c r="C110" i="2" s="1"/>
  <c r="BN59" i="1"/>
  <c r="BN58" i="1"/>
  <c r="BN57" i="1"/>
  <c r="C84" i="2" s="1"/>
  <c r="BN56" i="1"/>
  <c r="D84" i="2" s="1"/>
  <c r="BQ60" i="1"/>
  <c r="BQ59" i="1"/>
  <c r="BQ58" i="1"/>
  <c r="BQ57" i="1"/>
  <c r="BQ56" i="1"/>
  <c r="BZ60" i="1"/>
  <c r="C106" i="2" s="1"/>
  <c r="BZ59" i="1"/>
  <c r="BZ58" i="1"/>
  <c r="BZ57" i="1"/>
  <c r="C80" i="2" s="1"/>
  <c r="BZ56" i="1"/>
  <c r="D80" i="2" s="1"/>
  <c r="BW60" i="1"/>
  <c r="C105" i="2" s="1"/>
  <c r="BW59" i="1"/>
  <c r="BW58" i="1"/>
  <c r="BW57" i="1"/>
  <c r="C79" i="2" s="1"/>
  <c r="BW56" i="1"/>
  <c r="D79" i="2" s="1"/>
  <c r="BT60" i="1"/>
  <c r="C107" i="2" s="1"/>
  <c r="BT59" i="1"/>
  <c r="BT58" i="1"/>
  <c r="BT57" i="1"/>
  <c r="C81" i="2" s="1"/>
  <c r="BT56" i="1"/>
  <c r="D81" i="2" s="1"/>
  <c r="BK60" i="1"/>
  <c r="C109" i="2" s="1"/>
  <c r="BK59" i="1"/>
  <c r="BK58" i="1"/>
  <c r="BK57" i="1"/>
  <c r="C85" i="2" s="1"/>
  <c r="BK56" i="1"/>
  <c r="D85" i="2" s="1"/>
  <c r="BH60" i="1"/>
  <c r="C111" i="2" s="1"/>
  <c r="BH59" i="1"/>
  <c r="BH58" i="1"/>
  <c r="BH57" i="1"/>
  <c r="C83" i="2" s="1"/>
  <c r="BH56" i="1"/>
  <c r="D83" i="2" s="1"/>
  <c r="BE27" i="1"/>
  <c r="BE26" i="1"/>
  <c r="BE57" i="1" s="1"/>
  <c r="C82" i="2" s="1"/>
  <c r="BE21" i="1"/>
  <c r="BE56" i="1" s="1"/>
  <c r="D82" i="2" s="1"/>
  <c r="BN18" i="1"/>
  <c r="BN17" i="1"/>
  <c r="BM18" i="1"/>
  <c r="BM17" i="1"/>
  <c r="BQ18" i="1"/>
  <c r="BQ17" i="1"/>
  <c r="BP18" i="1"/>
  <c r="BP17" i="1"/>
  <c r="BZ18" i="1"/>
  <c r="BZ17" i="1"/>
  <c r="BY18" i="1"/>
  <c r="BY17" i="1"/>
  <c r="BW18" i="1"/>
  <c r="BW17" i="1"/>
  <c r="BV18" i="1"/>
  <c r="BV17" i="1"/>
  <c r="BT18" i="1"/>
  <c r="BT17" i="1"/>
  <c r="BS18" i="1"/>
  <c r="BS17" i="1"/>
  <c r="BK18" i="1"/>
  <c r="BK17" i="1"/>
  <c r="BJ18" i="1"/>
  <c r="BJ17" i="1"/>
  <c r="BH18" i="1"/>
  <c r="BH17" i="1"/>
  <c r="BG18" i="1"/>
  <c r="BG17" i="1"/>
  <c r="BE18" i="1"/>
  <c r="BE17" i="1"/>
  <c r="BD18" i="1"/>
  <c r="BD17" i="1"/>
  <c r="E83" i="2" l="1"/>
  <c r="E82" i="2"/>
  <c r="E80" i="2"/>
  <c r="E85" i="2"/>
  <c r="E84" i="2"/>
  <c r="E79" i="2"/>
  <c r="E81" i="2"/>
  <c r="BE59" i="1"/>
  <c r="BE24" i="1"/>
  <c r="BE73" i="1" s="1"/>
  <c r="BE74" i="1" s="1"/>
  <c r="BE28" i="1"/>
  <c r="BE58" i="1"/>
  <c r="BT76" i="1"/>
  <c r="BW76" i="1"/>
  <c r="BN76" i="1"/>
  <c r="BH77" i="1"/>
  <c r="E169" i="2" s="1"/>
  <c r="BQ76" i="1"/>
  <c r="BZ77" i="1"/>
  <c r="E173" i="2" s="1"/>
  <c r="BK74" i="1"/>
  <c r="BK77" i="1" s="1"/>
  <c r="E174" i="2" s="1"/>
  <c r="BH76" i="1"/>
  <c r="BN74" i="1"/>
  <c r="BN77" i="1" s="1"/>
  <c r="E171" i="2" s="1"/>
  <c r="BZ76" i="1"/>
  <c r="BW74" i="1"/>
  <c r="BW77" i="1" s="1"/>
  <c r="E172" i="2" s="1"/>
  <c r="BT74" i="1"/>
  <c r="BT77" i="1" s="1"/>
  <c r="E175" i="2" s="1"/>
  <c r="BE60" i="1" l="1"/>
  <c r="C108" i="2" s="1"/>
  <c r="BE75" i="1"/>
  <c r="BE77" i="1" s="1"/>
  <c r="E170" i="2" s="1"/>
  <c r="BE76" i="1" l="1"/>
  <c r="AQ6" i="1" l="1"/>
  <c r="S50" i="1" l="1"/>
  <c r="AO7" i="1" l="1"/>
  <c r="AO6" i="1"/>
  <c r="AO5" i="1"/>
  <c r="BB7" i="1" l="1"/>
  <c r="BB6" i="1"/>
  <c r="BB5" i="1"/>
  <c r="BA18" i="1"/>
  <c r="BA17" i="1"/>
  <c r="BA56" i="1"/>
  <c r="BA57" i="1"/>
  <c r="BA58" i="1"/>
  <c r="BA59" i="1"/>
  <c r="BA28" i="1"/>
  <c r="BA24" i="1"/>
  <c r="BA75" i="1" s="1"/>
  <c r="AX43" i="1"/>
  <c r="AX26" i="1"/>
  <c r="AX21" i="1"/>
  <c r="AX14" i="1"/>
  <c r="AX13" i="1"/>
  <c r="AX10" i="1"/>
  <c r="AX9" i="1"/>
  <c r="AX7" i="1"/>
  <c r="AY7" i="1" s="1"/>
  <c r="AX6" i="1"/>
  <c r="AY6" i="1" s="1"/>
  <c r="AW5" i="1"/>
  <c r="AU27" i="1"/>
  <c r="AU26" i="1"/>
  <c r="AU23" i="1"/>
  <c r="AU21" i="1"/>
  <c r="AU15" i="1"/>
  <c r="AU13" i="1"/>
  <c r="AU14" i="1" s="1"/>
  <c r="AU10" i="1"/>
  <c r="AT10" i="1"/>
  <c r="AU9" i="1"/>
  <c r="AT9" i="1"/>
  <c r="AU6" i="1"/>
  <c r="AV6" i="1" s="1"/>
  <c r="AU5" i="1"/>
  <c r="AT5" i="1"/>
  <c r="BA85" i="1"/>
  <c r="AV5" i="1" l="1"/>
  <c r="C25" i="2" s="1"/>
  <c r="AU24" i="1"/>
  <c r="AU75" i="1" s="1"/>
  <c r="BA73" i="1"/>
  <c r="BA60" i="1"/>
  <c r="AU85" i="1"/>
  <c r="C59" i="2" s="1"/>
  <c r="AU4" i="1"/>
  <c r="AR4" i="1"/>
  <c r="BA4" i="1"/>
  <c r="BA74" i="1" l="1"/>
  <c r="BA77" i="1" s="1"/>
  <c r="BA76" i="1"/>
  <c r="AX69" i="1" l="1"/>
  <c r="AW9" i="1"/>
  <c r="AX85" i="1" s="1"/>
  <c r="C58" i="2" s="1"/>
  <c r="AX8" i="1"/>
  <c r="AX5" i="1"/>
  <c r="AY5" i="1" s="1"/>
  <c r="C24" i="2" s="1"/>
  <c r="AX4" i="1" l="1"/>
  <c r="AN88" i="1"/>
  <c r="AN85" i="1"/>
  <c r="AN64" i="1"/>
  <c r="AN63" i="1"/>
  <c r="AN69" i="1"/>
  <c r="AN59" i="1"/>
  <c r="AN58" i="1"/>
  <c r="AN57" i="1"/>
  <c r="AN56" i="1"/>
  <c r="AN49" i="1"/>
  <c r="AN94" i="1" s="1"/>
  <c r="AN28" i="1"/>
  <c r="AN24" i="1"/>
  <c r="AN75" i="1" s="1"/>
  <c r="AN18" i="1"/>
  <c r="AN17" i="1"/>
  <c r="AN4" i="1"/>
  <c r="AH64" i="1"/>
  <c r="D129" i="2" s="1"/>
  <c r="AK64" i="1"/>
  <c r="AK63" i="1"/>
  <c r="AE45" i="1"/>
  <c r="AE64" i="1" s="1"/>
  <c r="AB45" i="1"/>
  <c r="AB64" i="1" s="1"/>
  <c r="Y45" i="1"/>
  <c r="Y63" i="1" s="1"/>
  <c r="V45" i="1"/>
  <c r="S45" i="1"/>
  <c r="S63" i="1" s="1"/>
  <c r="AK48" i="1"/>
  <c r="AK49" i="1" s="1"/>
  <c r="AH48" i="1"/>
  <c r="AH49" i="1" s="1"/>
  <c r="AE48" i="1"/>
  <c r="AE49" i="1" s="1"/>
  <c r="AB48" i="1"/>
  <c r="AB49" i="1" s="1"/>
  <c r="Y48" i="1"/>
  <c r="Y49" i="1" s="1"/>
  <c r="V48" i="1"/>
  <c r="V49" i="1" s="1"/>
  <c r="S48" i="1"/>
  <c r="S49" i="1" s="1"/>
  <c r="AH58" i="1"/>
  <c r="AK58" i="1"/>
  <c r="AH59" i="1"/>
  <c r="AK59" i="1"/>
  <c r="AK69" i="1"/>
  <c r="AK56" i="1"/>
  <c r="D72" i="2" s="1"/>
  <c r="AB69" i="1"/>
  <c r="S69" i="1"/>
  <c r="AH43" i="1"/>
  <c r="AH69" i="1" s="1"/>
  <c r="AE43" i="1"/>
  <c r="AE69" i="1" s="1"/>
  <c r="V43" i="1"/>
  <c r="AK28" i="1"/>
  <c r="AK24" i="1"/>
  <c r="AK75" i="1" s="1"/>
  <c r="AN82" i="1" l="1"/>
  <c r="AN73" i="1"/>
  <c r="AN76" i="1" s="1"/>
  <c r="AK60" i="1"/>
  <c r="AK73" i="1"/>
  <c r="AK76" i="1" s="1"/>
  <c r="AB63" i="1"/>
  <c r="S94" i="1"/>
  <c r="Y94" i="1"/>
  <c r="AE95" i="1"/>
  <c r="AE94" i="1"/>
  <c r="AB95" i="1"/>
  <c r="AB94" i="1"/>
  <c r="S64" i="1"/>
  <c r="AN60" i="1"/>
  <c r="AK74" i="1" l="1"/>
  <c r="AK77" i="1" s="1"/>
  <c r="E167" i="2" s="1"/>
  <c r="AN74" i="1"/>
  <c r="AN77" i="1" s="1"/>
  <c r="AU88" i="1"/>
  <c r="AX88" i="1"/>
  <c r="BA88" i="1"/>
  <c r="AU96" i="1"/>
  <c r="AX96" i="1"/>
  <c r="BA96" i="1"/>
  <c r="AQ9" i="1"/>
  <c r="AR23" i="1"/>
  <c r="AR27" i="1"/>
  <c r="AR26" i="1"/>
  <c r="AR21" i="1"/>
  <c r="AR15" i="1"/>
  <c r="AR9" i="1"/>
  <c r="AR7" i="1"/>
  <c r="AR6" i="1"/>
  <c r="AS6" i="1" s="1"/>
  <c r="AR88" i="1" l="1"/>
  <c r="AS7" i="1"/>
  <c r="AR59" i="1"/>
  <c r="AR85" i="1"/>
  <c r="C60" i="2" s="1"/>
  <c r="AR57" i="1"/>
  <c r="C91" i="2" s="1"/>
  <c r="AR28" i="1"/>
  <c r="AR18" i="1"/>
  <c r="AR58" i="1"/>
  <c r="AR24" i="1"/>
  <c r="AR75" i="1" s="1"/>
  <c r="AR56" i="1"/>
  <c r="D91" i="2" s="1"/>
  <c r="AR96" i="1"/>
  <c r="AR17" i="1"/>
  <c r="E91" i="2" l="1"/>
  <c r="AR60" i="1"/>
  <c r="AR73" i="1"/>
  <c r="AR76" i="1" s="1"/>
  <c r="D181" i="2"/>
  <c r="C181" i="2"/>
  <c r="G181" i="2" s="1"/>
  <c r="D182" i="2"/>
  <c r="C182" i="2"/>
  <c r="G182" i="2" s="1"/>
  <c r="D183" i="2"/>
  <c r="C183" i="2"/>
  <c r="G183" i="2" s="1"/>
  <c r="AR74" i="1" l="1"/>
  <c r="AR77" i="1" s="1"/>
  <c r="E183" i="2" s="1"/>
  <c r="AK57" i="1"/>
  <c r="C72" i="2" s="1"/>
  <c r="E72" i="2" s="1"/>
  <c r="AH57" i="1"/>
  <c r="C76" i="2" s="1"/>
  <c r="Y57" i="1"/>
  <c r="C75" i="2" s="1"/>
  <c r="S57" i="1"/>
  <c r="C78" i="2" s="1"/>
  <c r="AE82" i="1"/>
  <c r="AE81" i="1"/>
  <c r="Y82" i="1"/>
  <c r="Y81" i="1"/>
  <c r="V82" i="1"/>
  <c r="V81" i="1"/>
  <c r="AE4" i="1"/>
  <c r="AB4" i="1"/>
  <c r="Y4" i="1"/>
  <c r="S4" i="1"/>
  <c r="AB18" i="1"/>
  <c r="AB17" i="1"/>
  <c r="AH18" i="1" l="1"/>
  <c r="AH17" i="1"/>
  <c r="AH28" i="1"/>
  <c r="AH24" i="1"/>
  <c r="AH75" i="1" s="1"/>
  <c r="AH73" i="1" l="1"/>
  <c r="AH76" i="1" s="1"/>
  <c r="AH60" i="1"/>
  <c r="C98" i="2" s="1"/>
  <c r="AE15" i="1"/>
  <c r="AE14" i="1"/>
  <c r="AE13" i="1"/>
  <c r="AE18" i="1" l="1"/>
  <c r="AE17" i="1"/>
  <c r="AH74" i="1"/>
  <c r="AH77" i="1" s="1"/>
  <c r="E163" i="2" s="1"/>
  <c r="AL6" i="1"/>
  <c r="AI7" i="1"/>
  <c r="AF7" i="1"/>
  <c r="AC6" i="1"/>
  <c r="AC7" i="1"/>
  <c r="Z6" i="1"/>
  <c r="T6" i="1"/>
  <c r="AF5" i="1"/>
  <c r="C7" i="2" s="1"/>
  <c r="AC5" i="1"/>
  <c r="C10" i="2" s="1"/>
  <c r="T5" i="1"/>
  <c r="C9" i="2" s="1"/>
  <c r="C168" i="2"/>
  <c r="G168" i="2" s="1"/>
  <c r="D168" i="2"/>
  <c r="C162" i="2"/>
  <c r="G162" i="2" s="1"/>
  <c r="D162" i="2"/>
  <c r="C166" i="2"/>
  <c r="G166" i="2" s="1"/>
  <c r="D166" i="2"/>
  <c r="AK85" i="1" l="1"/>
  <c r="C40" i="2" s="1"/>
  <c r="AH85" i="1"/>
  <c r="C39" i="2" s="1"/>
  <c r="AH6" i="1"/>
  <c r="AG6" i="1"/>
  <c r="AE96" i="1"/>
  <c r="AE88" i="1"/>
  <c r="AB85" i="1"/>
  <c r="C43" i="2" s="1"/>
  <c r="AE27" i="1"/>
  <c r="AE26" i="1"/>
  <c r="AE57" i="1" s="1"/>
  <c r="C73" i="2" s="1"/>
  <c r="AE23" i="1"/>
  <c r="AE21" i="1"/>
  <c r="AE6" i="1"/>
  <c r="AE63" i="1" s="1"/>
  <c r="AD6" i="1"/>
  <c r="Y59" i="1"/>
  <c r="Y58" i="1"/>
  <c r="AB27" i="1"/>
  <c r="AB26" i="1"/>
  <c r="AB57" i="1" s="1"/>
  <c r="C74" i="2" s="1"/>
  <c r="AB23" i="1"/>
  <c r="AB21" i="1"/>
  <c r="AH56" i="1" l="1"/>
  <c r="D76" i="2" s="1"/>
  <c r="E76" i="2" s="1"/>
  <c r="AH63" i="1"/>
  <c r="AH82" i="1"/>
  <c r="C163" i="2"/>
  <c r="G163" i="2" s="1"/>
  <c r="AH81" i="1"/>
  <c r="D163" i="2"/>
  <c r="AI6" i="1"/>
  <c r="AF6" i="1"/>
  <c r="AK81" i="1"/>
  <c r="D167" i="2"/>
  <c r="AK82" i="1"/>
  <c r="C167" i="2"/>
  <c r="G167" i="2" s="1"/>
  <c r="AE24" i="1"/>
  <c r="AE75" i="1" s="1"/>
  <c r="AE28" i="1"/>
  <c r="AE58" i="1"/>
  <c r="AE59" i="1"/>
  <c r="AB58" i="1"/>
  <c r="AE56" i="1"/>
  <c r="D73" i="2" s="1"/>
  <c r="E73" i="2" s="1"/>
  <c r="AB59" i="1"/>
  <c r="AB24" i="1"/>
  <c r="AB75" i="1" s="1"/>
  <c r="AB28" i="1"/>
  <c r="AB56" i="1"/>
  <c r="D74" i="2" s="1"/>
  <c r="E74" i="2" s="1"/>
  <c r="AE73" i="1" l="1"/>
  <c r="AE76" i="1" s="1"/>
  <c r="AB73" i="1"/>
  <c r="AB76" i="1" s="1"/>
  <c r="AB82" i="1"/>
  <c r="C165" i="2"/>
  <c r="G165" i="2" s="1"/>
  <c r="AB81" i="1"/>
  <c r="D165" i="2"/>
  <c r="AE60" i="1"/>
  <c r="AB60" i="1"/>
  <c r="S59" i="1"/>
  <c r="S58" i="1"/>
  <c r="V27" i="1"/>
  <c r="V26" i="1"/>
  <c r="V57" i="1" s="1"/>
  <c r="C77" i="2" s="1"/>
  <c r="V23" i="1"/>
  <c r="V21" i="1"/>
  <c r="V15" i="1"/>
  <c r="V14" i="1"/>
  <c r="V13" i="1"/>
  <c r="U10" i="1"/>
  <c r="U6" i="1"/>
  <c r="S18" i="1"/>
  <c r="S17" i="1"/>
  <c r="AB74" i="1" l="1"/>
  <c r="AB77" i="1" s="1"/>
  <c r="E165" i="2" s="1"/>
  <c r="AE74" i="1"/>
  <c r="AE77" i="1" s="1"/>
  <c r="E168" i="2" s="1"/>
  <c r="V58" i="1"/>
  <c r="V59" i="1"/>
  <c r="V17" i="1"/>
  <c r="V18" i="1"/>
  <c r="AB96" i="1" l="1"/>
  <c r="AE85" i="1"/>
  <c r="C44" i="2" s="1"/>
  <c r="Y9" i="1"/>
  <c r="V10" i="1"/>
  <c r="U9" i="1"/>
  <c r="V9" i="1"/>
  <c r="V6" i="1"/>
  <c r="AB88" i="1"/>
  <c r="S85" i="1"/>
  <c r="AH8" i="1"/>
  <c r="AG8" i="1"/>
  <c r="AH5" i="1"/>
  <c r="AH94" i="1" s="1"/>
  <c r="AK8" i="1"/>
  <c r="AK95" i="1" s="1"/>
  <c r="AJ8" i="1"/>
  <c r="AK7" i="1"/>
  <c r="AJ7" i="1"/>
  <c r="AK5" i="1"/>
  <c r="AK94" i="1" s="1"/>
  <c r="Y8" i="1"/>
  <c r="Y95" i="1" s="1"/>
  <c r="X8" i="1"/>
  <c r="Y7" i="1"/>
  <c r="X7" i="1"/>
  <c r="X5" i="1"/>
  <c r="Z5" i="1" s="1"/>
  <c r="C8" i="2" s="1"/>
  <c r="V8" i="1"/>
  <c r="V95" i="1" s="1"/>
  <c r="V7" i="1"/>
  <c r="V5" i="1"/>
  <c r="V94" i="1" s="1"/>
  <c r="U8" i="1"/>
  <c r="U7" i="1"/>
  <c r="U5" i="1"/>
  <c r="V69" i="1" l="1"/>
  <c r="V64" i="1"/>
  <c r="W6" i="1"/>
  <c r="V63" i="1"/>
  <c r="AH96" i="1"/>
  <c r="AH95" i="1"/>
  <c r="Y85" i="1"/>
  <c r="C45" i="2" s="1"/>
  <c r="Y69" i="1"/>
  <c r="Y64" i="1"/>
  <c r="V4" i="1"/>
  <c r="W5" i="1"/>
  <c r="C5" i="2" s="1"/>
  <c r="AK4" i="1"/>
  <c r="AL5" i="1"/>
  <c r="C11" i="2" s="1"/>
  <c r="C42" i="2"/>
  <c r="AL7" i="1"/>
  <c r="Y88" i="1"/>
  <c r="Z7" i="1"/>
  <c r="AH88" i="1"/>
  <c r="AH4" i="1"/>
  <c r="AI5" i="1"/>
  <c r="C6" i="2" s="1"/>
  <c r="W7" i="1"/>
  <c r="AK96" i="1"/>
  <c r="V85" i="1"/>
  <c r="C41" i="2" s="1"/>
  <c r="V96" i="1"/>
  <c r="Y96" i="1"/>
  <c r="AK88" i="1"/>
  <c r="V88" i="1"/>
  <c r="A85" i="1" l="1"/>
  <c r="S8" i="1"/>
  <c r="S95" i="1" s="1"/>
  <c r="R8" i="1"/>
  <c r="S7" i="1"/>
  <c r="R7" i="1"/>
  <c r="BA81" i="1"/>
  <c r="BA82" i="1"/>
  <c r="AU17" i="1"/>
  <c r="AR81" i="1"/>
  <c r="AR82" i="1"/>
  <c r="AX81" i="1"/>
  <c r="AX82" i="1"/>
  <c r="AU82" i="1"/>
  <c r="AU81" i="1"/>
  <c r="AU57" i="1"/>
  <c r="C93" i="2" s="1"/>
  <c r="AU18" i="1" l="1"/>
  <c r="T7" i="1"/>
  <c r="S88" i="1"/>
  <c r="S96" i="1"/>
  <c r="AU56" i="1"/>
  <c r="D93" i="2" s="1"/>
  <c r="E93" i="2" s="1"/>
  <c r="AU59" i="1"/>
  <c r="AU58" i="1"/>
  <c r="AU28" i="1"/>
  <c r="AU60" i="1" l="1"/>
  <c r="AU73" i="1"/>
  <c r="AU76" i="1" s="1"/>
  <c r="S82" i="1"/>
  <c r="A82" i="1" s="1"/>
  <c r="C164" i="2"/>
  <c r="G164" i="2" s="1"/>
  <c r="S81" i="1"/>
  <c r="A81" i="1" s="1"/>
  <c r="D164" i="2"/>
  <c r="AU74" i="1" l="1"/>
  <c r="AU77" i="1" s="1"/>
  <c r="E182" i="2" s="1"/>
  <c r="AX15" i="1"/>
  <c r="S56" i="1"/>
  <c r="D78" i="2" s="1"/>
  <c r="E78" i="2" s="1"/>
  <c r="V56" i="1"/>
  <c r="D77" i="2" s="1"/>
  <c r="E77" i="2" s="1"/>
  <c r="Y56" i="1"/>
  <c r="D75" i="2" s="1"/>
  <c r="E75" i="2" s="1"/>
  <c r="AX27" i="1"/>
  <c r="AX23" i="1"/>
  <c r="AX57" i="1"/>
  <c r="C92" i="2" s="1"/>
  <c r="AX17" i="1" l="1"/>
  <c r="AX28" i="1"/>
  <c r="AX59" i="1"/>
  <c r="AX24" i="1"/>
  <c r="AX73" i="1" s="1"/>
  <c r="AX74" i="1" s="1"/>
  <c r="AX75" i="1" l="1"/>
  <c r="AX76" i="1" s="1"/>
  <c r="AX60" i="1"/>
  <c r="AX56" i="1"/>
  <c r="D92" i="2" s="1"/>
  <c r="E92" i="2" s="1"/>
  <c r="AX58" i="1"/>
  <c r="AX77" i="1" l="1"/>
  <c r="E181" i="2" s="1"/>
  <c r="V28" i="1"/>
  <c r="V24" i="1"/>
  <c r="Y28" i="1"/>
  <c r="Y24" i="1"/>
  <c r="Y73" i="1" l="1"/>
  <c r="Y74" i="1" s="1"/>
  <c r="Y75" i="1"/>
  <c r="V73" i="1"/>
  <c r="V74" i="1" s="1"/>
  <c r="V75" i="1"/>
  <c r="Y60" i="1"/>
  <c r="V60" i="1"/>
  <c r="V77" i="1" l="1"/>
  <c r="E166" i="2" s="1"/>
  <c r="Y77" i="1"/>
  <c r="E162" i="2" s="1"/>
  <c r="Y76" i="1"/>
  <c r="V76" i="1"/>
  <c r="S24" i="1"/>
  <c r="S75" i="1" s="1"/>
  <c r="S60" i="1" l="1"/>
  <c r="S73" i="1"/>
  <c r="S76" i="1" s="1"/>
  <c r="S28" i="1"/>
  <c r="S74" i="1" l="1"/>
  <c r="S77" i="1" s="1"/>
  <c r="E164" i="2" s="1"/>
</calcChain>
</file>

<file path=xl/comments1.xml><?xml version="1.0" encoding="utf-8"?>
<comments xmlns="http://schemas.openxmlformats.org/spreadsheetml/2006/main">
  <authors>
    <author>nugumara</author>
    <author>gelina</author>
    <author>saralina</author>
  </authors>
  <commentList>
    <comment ref="O17" authorId="0" shapeId="0">
      <text>
        <r>
          <rPr>
            <b/>
            <sz val="9"/>
            <color indexed="81"/>
            <rFont val="Tahoma"/>
            <family val="2"/>
            <charset val="204"/>
          </rPr>
          <t>nugumara:</t>
        </r>
        <r>
          <rPr>
            <sz val="9"/>
            <color indexed="81"/>
            <rFont val="Tahoma"/>
            <family val="2"/>
            <charset val="204"/>
          </rPr>
          <t xml:space="preserve">
devided by total assets</t>
        </r>
      </text>
    </comment>
    <comment ref="B43" authorId="1" shapeId="0">
      <text>
        <r>
          <rPr>
            <b/>
            <sz val="9"/>
            <color indexed="81"/>
            <rFont val="Tahoma"/>
            <family val="2"/>
            <charset val="204"/>
          </rPr>
          <t>gelina:</t>
        </r>
        <r>
          <rPr>
            <sz val="9"/>
            <color indexed="81"/>
            <rFont val="Tahoma"/>
            <family val="2"/>
            <charset val="204"/>
          </rPr>
          <t xml:space="preserve">
Other Assets and Investment properties, Investments in associates, Other financial assets etc.</t>
        </r>
      </text>
    </comment>
    <comment ref="AN45" authorId="2" shapeId="0">
      <text>
        <r>
          <rPr>
            <b/>
            <sz val="9"/>
            <color indexed="81"/>
            <rFont val="Tahoma"/>
            <family val="2"/>
            <charset val="204"/>
          </rPr>
          <t>saralina:</t>
        </r>
        <r>
          <rPr>
            <sz val="9"/>
            <color indexed="81"/>
            <rFont val="Tahoma"/>
            <family val="2"/>
            <charset val="204"/>
          </rPr>
          <t xml:space="preserve">
100% LCY portfolio</t>
        </r>
      </text>
    </comment>
    <comment ref="AN46" authorId="2" shapeId="0">
      <text>
        <r>
          <rPr>
            <b/>
            <sz val="9"/>
            <color indexed="81"/>
            <rFont val="Tahoma"/>
            <family val="2"/>
            <charset val="204"/>
          </rPr>
          <t>saralina:</t>
        </r>
        <r>
          <rPr>
            <sz val="9"/>
            <color indexed="81"/>
            <rFont val="Tahoma"/>
            <family val="2"/>
            <charset val="204"/>
          </rPr>
          <t xml:space="preserve">
No concentration
</t>
        </r>
      </text>
    </comment>
    <comment ref="B48" authorId="1" shapeId="0">
      <text>
        <r>
          <rPr>
            <b/>
            <sz val="9"/>
            <color indexed="81"/>
            <rFont val="Tahoma"/>
            <family val="2"/>
            <charset val="204"/>
          </rPr>
          <t>gelina:</t>
        </r>
        <r>
          <rPr>
            <sz val="9"/>
            <color indexed="81"/>
            <rFont val="Tahoma"/>
            <family val="2"/>
            <charset val="204"/>
          </rPr>
          <t xml:space="preserve">
(Cash and cash equivalents) + AFS + trading securities + interbank placements - </t>
        </r>
        <r>
          <rPr>
            <b/>
            <sz val="9"/>
            <color indexed="81"/>
            <rFont val="Tahoma"/>
            <family val="2"/>
            <charset val="204"/>
          </rPr>
          <t>all only in the up to 30 days</t>
        </r>
      </text>
    </comment>
    <comment ref="B49" authorId="1" shapeId="0">
      <text>
        <r>
          <rPr>
            <b/>
            <sz val="9"/>
            <color indexed="81"/>
            <rFont val="Tahoma"/>
            <family val="2"/>
            <charset val="204"/>
          </rPr>
          <t>gelina:</t>
        </r>
        <r>
          <rPr>
            <sz val="9"/>
            <color indexed="81"/>
            <rFont val="Tahoma"/>
            <family val="2"/>
            <charset val="204"/>
          </rPr>
          <t xml:space="preserve">
Liquid assets minus all liabilities in the "up to 30 days" basket excluding customer funding
</t>
        </r>
      </text>
    </comment>
    <comment ref="B50" authorId="1" shapeId="0">
      <text>
        <r>
          <rPr>
            <b/>
            <sz val="9"/>
            <color indexed="81"/>
            <rFont val="Tahoma"/>
            <family val="2"/>
            <charset val="204"/>
          </rPr>
          <t>gelina:</t>
        </r>
        <r>
          <rPr>
            <sz val="9"/>
            <color indexed="81"/>
            <rFont val="Tahoma"/>
            <family val="2"/>
            <charset val="204"/>
          </rPr>
          <t xml:space="preserve">
wholesale repayments to include xxx</t>
        </r>
      </text>
    </comment>
  </commentList>
</comments>
</file>

<file path=xl/sharedStrings.xml><?xml version="1.0" encoding="utf-8"?>
<sst xmlns="http://schemas.openxmlformats.org/spreadsheetml/2006/main" count="388" uniqueCount="127">
  <si>
    <t>BIS Tier 1 capital (CCY)</t>
  </si>
  <si>
    <t>BIS Tier 1 CAR (%)</t>
  </si>
  <si>
    <t>BIS TCAR (%)</t>
  </si>
  <si>
    <t>Stage 3 loans - IFRS (CCY)</t>
  </si>
  <si>
    <t>LLR for Stage 3 loans - IFRS (CCY)</t>
  </si>
  <si>
    <t>Net Stage 3 loans - IFRS (CCY)</t>
  </si>
  <si>
    <t>Stage 2 loans - IFRS (CCY)</t>
  </si>
  <si>
    <t>LLR for Stage 2 loans - IFRS (CCY)</t>
  </si>
  <si>
    <t>Net Stage 2 loans - IFRS (CCY)</t>
  </si>
  <si>
    <t>adj BIS Tier 1 CAR (CCY)</t>
  </si>
  <si>
    <t>adj BIS TCAR (CCY)</t>
  </si>
  <si>
    <t>adj BIS Tier 1 CAR (%)</t>
  </si>
  <si>
    <t>adj BIS TCAR (%)</t>
  </si>
  <si>
    <t>Optima</t>
  </si>
  <si>
    <t>KICB</t>
  </si>
  <si>
    <t>DKIB</t>
  </si>
  <si>
    <t>Stage 3 coverage</t>
  </si>
  <si>
    <t>Stage 2 coverage</t>
  </si>
  <si>
    <t>Ratios</t>
  </si>
  <si>
    <t>RWA</t>
  </si>
  <si>
    <t>CIB</t>
  </si>
  <si>
    <t>Stage 3 as % of GLP</t>
  </si>
  <si>
    <t>Stage 2 as % of GLP</t>
  </si>
  <si>
    <t>equity (ССY)</t>
  </si>
  <si>
    <t>GLP (CCY)</t>
  </si>
  <si>
    <t>Adjusted CAR</t>
  </si>
  <si>
    <t>Local Tier 1 CAR (%)</t>
  </si>
  <si>
    <t>Local CAR (%)</t>
  </si>
  <si>
    <t>BSPB</t>
  </si>
  <si>
    <t>Local Tier 1 - regulatory min.</t>
  </si>
  <si>
    <t>Local CAR - regulatory min.</t>
  </si>
  <si>
    <t>CBM</t>
  </si>
  <si>
    <t>Tier 1 cushion</t>
  </si>
  <si>
    <t>TCAR cushion</t>
  </si>
  <si>
    <t>NBD</t>
  </si>
  <si>
    <t>non-core assets</t>
  </si>
  <si>
    <t>Assets</t>
  </si>
  <si>
    <t>Deposits</t>
  </si>
  <si>
    <t>Local Tier 1 capital (CCY)</t>
  </si>
  <si>
    <t>BoA</t>
  </si>
  <si>
    <t>BTB</t>
  </si>
  <si>
    <t>Kompanion</t>
  </si>
  <si>
    <t>Loans (net)</t>
  </si>
  <si>
    <t>Net profit</t>
  </si>
  <si>
    <t>RoAE</t>
  </si>
  <si>
    <t>Loans/Assets</t>
  </si>
  <si>
    <t>Portfolio quality</t>
  </si>
  <si>
    <t>Capital adequacy</t>
  </si>
  <si>
    <t>Assets structure</t>
  </si>
  <si>
    <t>Profitability</t>
  </si>
  <si>
    <t>FINCA</t>
  </si>
  <si>
    <t>Loans/Deposits</t>
  </si>
  <si>
    <t xml:space="preserve"> </t>
  </si>
  <si>
    <t>Local total Capital for CAR calculation (CCY)</t>
  </si>
  <si>
    <t>BIS total Capital for CAR calculation (CCY)</t>
  </si>
  <si>
    <t>ROAE</t>
  </si>
  <si>
    <t>FX loans</t>
  </si>
  <si>
    <t>top-20 exposures</t>
  </si>
  <si>
    <t>Liquid assets</t>
  </si>
  <si>
    <t>Adjusted liquid assets</t>
  </si>
  <si>
    <t>assets (USD)</t>
  </si>
  <si>
    <t>Stage 2</t>
  </si>
  <si>
    <t>Stage 3</t>
  </si>
  <si>
    <t>non core assets as % of equity</t>
  </si>
  <si>
    <t>Liquidity</t>
  </si>
  <si>
    <t>Adjusted liquid assets/customer funding</t>
  </si>
  <si>
    <t>FX loans as % of GLP</t>
  </si>
  <si>
    <t>FX loans as % of equity</t>
  </si>
  <si>
    <t>FMFC</t>
  </si>
  <si>
    <t>n/a</t>
  </si>
  <si>
    <t>adj RWA</t>
  </si>
  <si>
    <t>Assets growth</t>
  </si>
  <si>
    <t>2+3</t>
  </si>
  <si>
    <t>Local CAR</t>
  </si>
  <si>
    <t>Local Tier 1</t>
  </si>
  <si>
    <t>Wholesale repayments in the next 12 months</t>
  </si>
  <si>
    <t xml:space="preserve"> - of them 90+ overdue</t>
  </si>
  <si>
    <t>Interest accrued</t>
  </si>
  <si>
    <t>Interest received</t>
  </si>
  <si>
    <t>Cash flow statement</t>
  </si>
  <si>
    <t>IFRS</t>
  </si>
  <si>
    <t>Local</t>
  </si>
  <si>
    <t>AraratBank</t>
  </si>
  <si>
    <t>AmeriaBank</t>
  </si>
  <si>
    <t>ArdShinBank</t>
  </si>
  <si>
    <t>ACBA bank</t>
  </si>
  <si>
    <t>ArmEconomBank</t>
  </si>
  <si>
    <t>ArmSwissBank</t>
  </si>
  <si>
    <t>ConverseBank</t>
  </si>
  <si>
    <t>InecoBank</t>
  </si>
  <si>
    <t>Ameria</t>
  </si>
  <si>
    <t>ArdShin</t>
  </si>
  <si>
    <t>ACBA</t>
  </si>
  <si>
    <t>Ineco</t>
  </si>
  <si>
    <t>Ararat</t>
  </si>
  <si>
    <t>Armeconom</t>
  </si>
  <si>
    <t>ArmSwiss</t>
  </si>
  <si>
    <t>Cushion</t>
  </si>
  <si>
    <t>Adjusted</t>
  </si>
  <si>
    <t>Interest received/Interest accrued</t>
  </si>
  <si>
    <t>top-20 as % of equity</t>
  </si>
  <si>
    <t>Forte</t>
  </si>
  <si>
    <t>BCC</t>
  </si>
  <si>
    <t>Kassa Nova</t>
  </si>
  <si>
    <t>shall we add FX-adjusted assets growth?</t>
  </si>
  <si>
    <t>to add 3 years average (as a point)</t>
  </si>
  <si>
    <t>P&amp;L</t>
  </si>
  <si>
    <t>FX exposure</t>
  </si>
  <si>
    <t>Wholesale repayments/assets</t>
  </si>
  <si>
    <t>Deposits/Liabilities</t>
  </si>
  <si>
    <t>1. Growth</t>
  </si>
  <si>
    <t>2.Profitability</t>
  </si>
  <si>
    <t>3. Capital adequacy</t>
  </si>
  <si>
    <t>3. Asset quality</t>
  </si>
  <si>
    <t>4. Liquidity</t>
  </si>
  <si>
    <t>OCER</t>
  </si>
  <si>
    <t>Amounts payable under REPO</t>
  </si>
  <si>
    <t>Non-deposit funding/loans</t>
  </si>
  <si>
    <t>to add system average</t>
  </si>
  <si>
    <t>to add system growth for each country</t>
  </si>
  <si>
    <t>to add 3 years CAGR</t>
  </si>
  <si>
    <t>Shinhan Bank</t>
  </si>
  <si>
    <t>KMF MFO</t>
  </si>
  <si>
    <t>na</t>
  </si>
  <si>
    <t>Shinhan</t>
  </si>
  <si>
    <t>KMF</t>
  </si>
  <si>
    <t>OCER (Stage 3 underprovisioning as % of equity)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</si>
</sst>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%"/>
    <numFmt numFmtId="165" formatCode="#,##0_);\(#,##0\);&quot;-  &quot;;&quot; &quot;@&quot; &quot;"/>
    <numFmt numFmtId="166" formatCode="0.00%_);\-0.00%_);&quot;-  &quot;;&quot; &quot;@&quot; &quot;"/>
    <numFmt numFmtId="167" formatCode="#,##0.0000_);\(#,##0.0000\);&quot;-  &quot;;&quot; &quot;@&quot; &quot;"/>
    <numFmt numFmtId="168" formatCode="dd\ mmm\ yyyy_);\(###0\);&quot;-  &quot;;&quot; &quot;@&quot; &quot;"/>
    <numFmt numFmtId="169" formatCode="dd\ mmm\ yy_);\(###0\);&quot;-  &quot;;&quot; &quot;@&quot; &quot;"/>
    <numFmt numFmtId="170" formatCode="###0_);\(###0\);&quot;-  &quot;;&quot; &quot;@&quot; &quot;"/>
  </numFmts>
  <fonts count="13" x14ac:knownFonts="1">
    <font>
      <sz val="11"/>
      <color theme="1"/>
      <name val="Calibri"/>
      <family val="2"/>
      <scheme val="minor"/>
    </font>
    <font>
      <i/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i/>
      <sz val="10"/>
      <color theme="1"/>
      <name val="Calibri"/>
      <family val="2"/>
      <scheme val="minor"/>
    </font>
    <font>
      <i/>
      <sz val="10"/>
      <color rgb="FFFF000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2"/>
      <color theme="1"/>
      <name val="Arial Narrow"/>
      <family val="2"/>
      <charset val="204"/>
    </font>
    <font>
      <b/>
      <i/>
      <sz val="10"/>
      <color rgb="FFFF0000"/>
      <name val="Arial Narrow"/>
      <family val="2"/>
      <charset val="204"/>
    </font>
    <font>
      <i/>
      <sz val="1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165" fontId="0" fillId="0" borderId="0" applyFont="0" applyFill="0" applyBorder="0" applyProtection="0">
      <alignment vertical="top"/>
    </xf>
    <xf numFmtId="166" fontId="7" fillId="0" borderId="0" applyFont="0" applyFill="0" applyBorder="0" applyProtection="0">
      <alignment vertical="top"/>
    </xf>
    <xf numFmtId="167" fontId="7" fillId="0" borderId="0" applyFont="0" applyFill="0" applyBorder="0" applyProtection="0">
      <alignment vertical="top"/>
    </xf>
    <xf numFmtId="168" fontId="7" fillId="0" borderId="0" applyFont="0" applyFill="0" applyBorder="0" applyProtection="0">
      <alignment vertical="top"/>
    </xf>
    <xf numFmtId="169" fontId="7" fillId="0" borderId="0" applyFont="0" applyFill="0" applyBorder="0" applyProtection="0">
      <alignment vertical="top"/>
    </xf>
    <xf numFmtId="170" fontId="7" fillId="0" borderId="0" applyFont="0" applyFill="0" applyBorder="0" applyProtection="0">
      <alignment vertical="top"/>
    </xf>
  </cellStyleXfs>
  <cellXfs count="102">
    <xf numFmtId="165" fontId="0" fillId="0" borderId="0" xfId="0">
      <alignment vertical="top"/>
    </xf>
    <xf numFmtId="165" fontId="1" fillId="0" borderId="0" xfId="0" applyFont="1">
      <alignment vertical="top"/>
    </xf>
    <xf numFmtId="165" fontId="3" fillId="0" borderId="0" xfId="0" applyFont="1">
      <alignment vertical="top"/>
    </xf>
    <xf numFmtId="165" fontId="1" fillId="0" borderId="0" xfId="0" applyFont="1" applyFill="1">
      <alignment vertical="top"/>
    </xf>
    <xf numFmtId="3" fontId="1" fillId="0" borderId="0" xfId="0" applyNumberFormat="1" applyFont="1">
      <alignment vertical="top"/>
    </xf>
    <xf numFmtId="10" fontId="1" fillId="0" borderId="0" xfId="0" applyNumberFormat="1" applyFont="1">
      <alignment vertical="top"/>
    </xf>
    <xf numFmtId="10" fontId="3" fillId="0" borderId="0" xfId="0" applyNumberFormat="1" applyFont="1">
      <alignment vertical="top"/>
    </xf>
    <xf numFmtId="165" fontId="4" fillId="0" borderId="0" xfId="0" applyFont="1">
      <alignment vertical="top"/>
    </xf>
    <xf numFmtId="165" fontId="4" fillId="0" borderId="0" xfId="0" applyFont="1" applyFill="1">
      <alignment vertical="top"/>
    </xf>
    <xf numFmtId="10" fontId="4" fillId="0" borderId="0" xfId="0" applyNumberFormat="1" applyFont="1">
      <alignment vertical="top"/>
    </xf>
    <xf numFmtId="3" fontId="1" fillId="0" borderId="0" xfId="0" applyNumberFormat="1" applyFont="1" applyFill="1">
      <alignment vertical="top"/>
    </xf>
    <xf numFmtId="3" fontId="4" fillId="0" borderId="0" xfId="0" applyNumberFormat="1" applyFont="1" applyFill="1">
      <alignment vertical="top"/>
    </xf>
    <xf numFmtId="3" fontId="4" fillId="0" borderId="0" xfId="0" applyNumberFormat="1" applyFont="1">
      <alignment vertical="top"/>
    </xf>
    <xf numFmtId="165" fontId="2" fillId="0" borderId="1" xfId="0" applyFont="1" applyBorder="1">
      <alignment vertical="top"/>
    </xf>
    <xf numFmtId="164" fontId="1" fillId="0" borderId="0" xfId="0" applyNumberFormat="1" applyFont="1">
      <alignment vertical="top"/>
    </xf>
    <xf numFmtId="165" fontId="1" fillId="2" borderId="0" xfId="0" applyFont="1" applyFill="1">
      <alignment vertical="top"/>
    </xf>
    <xf numFmtId="165" fontId="1" fillId="0" borderId="2" xfId="0" applyFont="1" applyBorder="1">
      <alignment vertical="top"/>
    </xf>
    <xf numFmtId="165" fontId="2" fillId="0" borderId="2" xfId="0" applyFont="1" applyBorder="1" applyAlignment="1">
      <alignment horizontal="center"/>
    </xf>
    <xf numFmtId="165" fontId="1" fillId="0" borderId="1" xfId="0" applyFont="1" applyBorder="1">
      <alignment vertical="top"/>
    </xf>
    <xf numFmtId="165" fontId="3" fillId="0" borderId="1" xfId="0" applyFont="1" applyBorder="1">
      <alignment vertical="top"/>
    </xf>
    <xf numFmtId="165" fontId="1" fillId="0" borderId="0" xfId="0" applyFont="1" applyBorder="1">
      <alignment vertical="top"/>
    </xf>
    <xf numFmtId="165" fontId="2" fillId="0" borderId="0" xfId="0" applyFont="1" applyBorder="1" applyAlignment="1">
      <alignment horizontal="center"/>
    </xf>
    <xf numFmtId="10" fontId="1" fillId="0" borderId="0" xfId="0" applyNumberFormat="1" applyFont="1" applyFill="1">
      <alignment vertical="top"/>
    </xf>
    <xf numFmtId="3" fontId="1" fillId="2" borderId="0" xfId="0" applyNumberFormat="1" applyFont="1" applyFill="1">
      <alignment vertical="top"/>
    </xf>
    <xf numFmtId="3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>
      <alignment vertical="top"/>
    </xf>
    <xf numFmtId="165" fontId="2" fillId="0" borderId="0" xfId="0" applyFont="1">
      <alignment vertical="top"/>
    </xf>
    <xf numFmtId="166" fontId="1" fillId="0" borderId="0" xfId="1" applyFont="1" applyFill="1">
      <alignment vertical="top"/>
    </xf>
    <xf numFmtId="166" fontId="4" fillId="0" borderId="0" xfId="1" applyFont="1" applyFill="1">
      <alignment vertical="top"/>
    </xf>
    <xf numFmtId="164" fontId="1" fillId="0" borderId="0" xfId="0" applyNumberFormat="1" applyFont="1" applyFill="1">
      <alignment vertical="top"/>
    </xf>
    <xf numFmtId="165" fontId="3" fillId="2" borderId="0" xfId="0" applyFont="1" applyFill="1">
      <alignment vertical="top"/>
    </xf>
    <xf numFmtId="0" fontId="1" fillId="0" borderId="0" xfId="0" applyNumberFormat="1" applyFont="1" applyBorder="1">
      <alignment vertical="top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>
      <alignment vertical="top"/>
    </xf>
    <xf numFmtId="0" fontId="1" fillId="0" borderId="0" xfId="0" applyNumberFormat="1" applyFont="1">
      <alignment vertical="top"/>
    </xf>
    <xf numFmtId="166" fontId="1" fillId="0" borderId="0" xfId="1" applyFont="1">
      <alignment vertical="top"/>
    </xf>
    <xf numFmtId="165" fontId="1" fillId="0" borderId="0" xfId="0" applyFont="1" applyFill="1" applyBorder="1">
      <alignment vertical="top"/>
    </xf>
    <xf numFmtId="0" fontId="1" fillId="0" borderId="0" xfId="0" applyNumberFormat="1" applyFont="1" applyFill="1" applyBorder="1">
      <alignment vertical="top"/>
    </xf>
    <xf numFmtId="166" fontId="1" fillId="0" borderId="0" xfId="1" applyFont="1" applyFill="1" applyBorder="1">
      <alignment vertical="top"/>
    </xf>
    <xf numFmtId="164" fontId="4" fillId="0" borderId="0" xfId="0" applyNumberFormat="1" applyFont="1" applyBorder="1" applyAlignment="1">
      <alignment horizontal="center"/>
    </xf>
    <xf numFmtId="164" fontId="1" fillId="0" borderId="2" xfId="0" applyNumberFormat="1" applyFont="1" applyBorder="1">
      <alignment vertical="top"/>
    </xf>
    <xf numFmtId="165" fontId="2" fillId="0" borderId="2" xfId="0" applyFont="1" applyBorder="1" applyAlignment="1">
      <alignment horizontal="center"/>
    </xf>
    <xf numFmtId="164" fontId="4" fillId="0" borderId="0" xfId="0" applyNumberFormat="1" applyFont="1">
      <alignment vertical="top"/>
    </xf>
    <xf numFmtId="10" fontId="1" fillId="2" borderId="0" xfId="0" applyNumberFormat="1" applyFont="1" applyFill="1">
      <alignment vertical="top"/>
    </xf>
    <xf numFmtId="164" fontId="1" fillId="0" borderId="3" xfId="0" applyNumberFormat="1" applyFont="1" applyBorder="1">
      <alignment vertical="top"/>
    </xf>
    <xf numFmtId="164" fontId="1" fillId="0" borderId="0" xfId="0" applyNumberFormat="1" applyFont="1" applyAlignment="1">
      <alignment horizontal="right" vertical="top"/>
    </xf>
    <xf numFmtId="166" fontId="1" fillId="2" borderId="0" xfId="1" applyFont="1" applyFill="1">
      <alignment vertical="top"/>
    </xf>
    <xf numFmtId="3" fontId="1" fillId="0" borderId="0" xfId="0" applyNumberFormat="1" applyFont="1" applyAlignment="1">
      <alignment horizontal="right" vertical="top"/>
    </xf>
    <xf numFmtId="165" fontId="2" fillId="0" borderId="0" xfId="0" applyFont="1" applyBorder="1" applyAlignment="1">
      <alignment horizontal="right"/>
    </xf>
    <xf numFmtId="10" fontId="1" fillId="0" borderId="0" xfId="0" applyNumberFormat="1" applyFont="1" applyAlignment="1">
      <alignment horizontal="right" vertical="top"/>
    </xf>
    <xf numFmtId="165" fontId="1" fillId="0" borderId="0" xfId="0" applyFont="1" applyAlignment="1">
      <alignment horizontal="right" vertical="top"/>
    </xf>
    <xf numFmtId="10" fontId="1" fillId="2" borderId="0" xfId="0" applyNumberFormat="1" applyFont="1" applyFill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1" fillId="0" borderId="0" xfId="0" applyNumberFormat="1" applyFont="1">
      <alignment vertical="top"/>
    </xf>
    <xf numFmtId="164" fontId="1" fillId="0" borderId="0" xfId="0" applyNumberFormat="1" applyFont="1" applyBorder="1">
      <alignment vertical="top"/>
    </xf>
    <xf numFmtId="3" fontId="2" fillId="0" borderId="0" xfId="0" applyNumberFormat="1" applyFont="1">
      <alignment vertical="top"/>
    </xf>
    <xf numFmtId="3" fontId="2" fillId="0" borderId="0" xfId="0" applyNumberFormat="1" applyFont="1" applyAlignment="1">
      <alignment horizontal="right" vertical="top"/>
    </xf>
    <xf numFmtId="164" fontId="2" fillId="3" borderId="0" xfId="0" applyNumberFormat="1" applyFont="1" applyFill="1">
      <alignment vertical="top"/>
    </xf>
    <xf numFmtId="165" fontId="2" fillId="3" borderId="0" xfId="0" applyFont="1" applyFill="1">
      <alignment vertical="top"/>
    </xf>
    <xf numFmtId="165" fontId="8" fillId="3" borderId="0" xfId="0" applyFont="1" applyFill="1">
      <alignment vertical="top"/>
    </xf>
    <xf numFmtId="165" fontId="2" fillId="3" borderId="0" xfId="0" applyFont="1" applyFill="1" applyBorder="1">
      <alignment vertical="top"/>
    </xf>
    <xf numFmtId="10" fontId="2" fillId="3" borderId="0" xfId="0" applyNumberFormat="1" applyFont="1" applyFill="1">
      <alignment vertical="top"/>
    </xf>
    <xf numFmtId="164" fontId="1" fillId="0" borderId="3" xfId="0" applyNumberFormat="1" applyFont="1" applyFill="1" applyBorder="1">
      <alignment vertical="top"/>
    </xf>
    <xf numFmtId="165" fontId="1" fillId="0" borderId="3" xfId="0" applyFont="1" applyFill="1" applyBorder="1">
      <alignment vertical="top"/>
    </xf>
    <xf numFmtId="164" fontId="4" fillId="0" borderId="3" xfId="0" applyNumberFormat="1" applyFont="1" applyFill="1" applyBorder="1">
      <alignment vertical="top"/>
    </xf>
    <xf numFmtId="166" fontId="4" fillId="2" borderId="0" xfId="1" applyFont="1" applyFill="1" applyAlignment="1">
      <alignment horizontal="right" vertical="top"/>
    </xf>
    <xf numFmtId="164" fontId="2" fillId="0" borderId="0" xfId="0" applyNumberFormat="1" applyFont="1">
      <alignment vertical="top"/>
    </xf>
    <xf numFmtId="3" fontId="1" fillId="2" borderId="0" xfId="0" applyNumberFormat="1" applyFont="1" applyFill="1" applyAlignment="1">
      <alignment horizontal="right" vertical="top"/>
    </xf>
    <xf numFmtId="165" fontId="9" fillId="0" borderId="0" xfId="0" applyFont="1">
      <alignment vertical="top"/>
    </xf>
    <xf numFmtId="165" fontId="4" fillId="0" borderId="0" xfId="0" applyFont="1" applyFill="1" applyBorder="1">
      <alignment vertical="top"/>
    </xf>
    <xf numFmtId="165" fontId="1" fillId="2" borderId="0" xfId="0" applyFont="1" applyFill="1" applyBorder="1">
      <alignment vertical="top"/>
    </xf>
    <xf numFmtId="166" fontId="1" fillId="0" borderId="0" xfId="1" applyFont="1" applyFill="1" applyBorder="1" applyAlignment="1">
      <alignment horizontal="center" vertical="center"/>
    </xf>
    <xf numFmtId="165" fontId="1" fillId="0" borderId="0" xfId="0" applyFont="1" applyFill="1" applyBorder="1" applyAlignment="1">
      <alignment horizontal="center" vertical="center"/>
    </xf>
    <xf numFmtId="165" fontId="1" fillId="0" borderId="3" xfId="0" applyFont="1" applyBorder="1">
      <alignment vertical="top"/>
    </xf>
    <xf numFmtId="165" fontId="1" fillId="0" borderId="3" xfId="0" applyFont="1" applyBorder="1" applyAlignment="1">
      <alignment horizontal="right" vertical="top"/>
    </xf>
    <xf numFmtId="165" fontId="1" fillId="0" borderId="0" xfId="0" applyFont="1" applyFill="1" applyBorder="1" applyAlignment="1">
      <alignment horizontal="right" vertical="top"/>
    </xf>
    <xf numFmtId="164" fontId="2" fillId="2" borderId="0" xfId="0" applyNumberFormat="1" applyFont="1" applyFill="1">
      <alignment vertical="top"/>
    </xf>
    <xf numFmtId="165" fontId="1" fillId="3" borderId="0" xfId="0" applyFont="1" applyFill="1">
      <alignment vertical="top"/>
    </xf>
    <xf numFmtId="164" fontId="1" fillId="3" borderId="0" xfId="0" applyNumberFormat="1" applyFont="1" applyFill="1">
      <alignment vertical="top"/>
    </xf>
    <xf numFmtId="164" fontId="1" fillId="2" borderId="0" xfId="0" applyNumberFormat="1" applyFont="1" applyFill="1">
      <alignment vertical="top"/>
    </xf>
    <xf numFmtId="164" fontId="1" fillId="3" borderId="0" xfId="0" applyNumberFormat="1" applyFont="1" applyFill="1" applyBorder="1">
      <alignment vertical="top"/>
    </xf>
    <xf numFmtId="165" fontId="2" fillId="4" borderId="0" xfId="0" applyFont="1" applyFill="1">
      <alignment vertical="top"/>
    </xf>
    <xf numFmtId="164" fontId="1" fillId="4" borderId="0" xfId="0" applyNumberFormat="1" applyFont="1" applyFill="1">
      <alignment vertical="top"/>
    </xf>
    <xf numFmtId="164" fontId="1" fillId="4" borderId="0" xfId="0" applyNumberFormat="1" applyFont="1" applyFill="1" applyBorder="1">
      <alignment vertical="top"/>
    </xf>
    <xf numFmtId="164" fontId="1" fillId="4" borderId="3" xfId="0" applyNumberFormat="1" applyFont="1" applyFill="1" applyBorder="1">
      <alignment vertical="top"/>
    </xf>
    <xf numFmtId="165" fontId="1" fillId="3" borderId="0" xfId="0" applyFont="1" applyFill="1" applyBorder="1">
      <alignment vertical="top"/>
    </xf>
    <xf numFmtId="165" fontId="1" fillId="3" borderId="0" xfId="0" applyFont="1" applyFill="1" applyAlignment="1">
      <alignment horizontal="right" vertical="top"/>
    </xf>
    <xf numFmtId="165" fontId="1" fillId="0" borderId="1" xfId="0" applyFont="1" applyFill="1" applyBorder="1">
      <alignment vertical="top"/>
    </xf>
    <xf numFmtId="164" fontId="4" fillId="0" borderId="0" xfId="0" applyNumberFormat="1" applyFont="1" applyFill="1" applyBorder="1">
      <alignment vertical="top"/>
    </xf>
    <xf numFmtId="165" fontId="3" fillId="0" borderId="3" xfId="0" applyFont="1" applyBorder="1">
      <alignment vertical="top"/>
    </xf>
    <xf numFmtId="165" fontId="1" fillId="0" borderId="2" xfId="0" applyFont="1" applyFill="1" applyBorder="1">
      <alignment vertical="top"/>
    </xf>
    <xf numFmtId="165" fontId="10" fillId="0" borderId="0" xfId="0" applyFont="1">
      <alignment vertical="top"/>
    </xf>
    <xf numFmtId="165" fontId="2" fillId="0" borderId="0" xfId="0" applyFont="1" applyFill="1">
      <alignment vertical="top"/>
    </xf>
    <xf numFmtId="165" fontId="1" fillId="2" borderId="0" xfId="0" applyFont="1" applyFill="1" applyAlignment="1">
      <alignment horizontal="right" vertical="top"/>
    </xf>
    <xf numFmtId="165" fontId="11" fillId="0" borderId="0" xfId="0" applyFont="1">
      <alignment vertical="top"/>
    </xf>
    <xf numFmtId="3" fontId="12" fillId="0" borderId="0" xfId="0" applyNumberFormat="1" applyFont="1" applyFill="1">
      <alignment vertical="top"/>
    </xf>
    <xf numFmtId="10" fontId="1" fillId="0" borderId="0" xfId="0" applyNumberFormat="1" applyFont="1" applyFill="1" applyAlignment="1">
      <alignment horizontal="right" vertical="top"/>
    </xf>
    <xf numFmtId="165" fontId="1" fillId="2" borderId="0" xfId="0" applyFont="1" applyFill="1" applyBorder="1" applyAlignment="1">
      <alignment horizontal="right"/>
    </xf>
    <xf numFmtId="165" fontId="2" fillId="0" borderId="0" xfId="0" applyFont="1" applyAlignment="1">
      <alignment horizontal="center" vertical="top"/>
    </xf>
    <xf numFmtId="165" fontId="2" fillId="0" borderId="2" xfId="0" applyFont="1" applyBorder="1" applyAlignment="1">
      <alignment horizontal="center"/>
    </xf>
    <xf numFmtId="165" fontId="2" fillId="0" borderId="2" xfId="0" applyFont="1" applyFill="1" applyBorder="1" applyAlignment="1">
      <alignment horizontal="center"/>
    </xf>
  </cellXfs>
  <cellStyles count="6">
    <cellStyle name="DateLong" xfId="3"/>
    <cellStyle name="DateShort" xfId="4"/>
    <cellStyle name="Factor" xfId="2"/>
    <cellStyle name="Normal" xfId="0" builtinId="0" customBuiltin="1"/>
    <cellStyle name="Percent" xfId="1" builtinId="5" customBuiltin="1"/>
    <cellStyle name="Year" xfId="5"/>
  </cellStyles>
  <dxfs count="0"/>
  <tableStyles count="0" defaultTableStyle="TableStyleMedium2" defaultPivotStyle="PivotStyleLight16"/>
  <colors>
    <mruColors>
      <color rgb="FFFFFFFF"/>
      <color rgb="FFE8D308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1200" b="1" i="1">
                <a:latin typeface="Arial Narrow" panose="020B0606020202030204" pitchFamily="34" charset="0"/>
              </a:rPr>
              <a:t>Capital adequacy metrics (local)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charts!$C$161</c:f>
              <c:strCache>
                <c:ptCount val="1"/>
                <c:pt idx="0">
                  <c:v>Local CAR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798B-47B5-8FE2-543E74523F84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798B-47B5-8FE2-543E74523F84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798B-47B5-8FE2-543E74523F84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798B-47B5-8FE2-543E74523F84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98B-47B5-8FE2-543E74523F84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798B-47B5-8FE2-543E74523F84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98B-47B5-8FE2-543E74523F8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798B-47B5-8FE2-543E74523F84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98B-47B5-8FE2-543E74523F84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900-4B75-927F-BCB83C874CF8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9B8-4FD9-94DB-3425CB18BD53}"/>
              </c:ext>
            </c:extLst>
          </c:dPt>
          <c:dPt>
            <c:idx val="2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9B8-4FD9-94DB-3425CB18BD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charts!$B$162:$B$183</c:f>
              <c:strCache>
                <c:ptCount val="22"/>
                <c:pt idx="0">
                  <c:v>DKIB</c:v>
                </c:pt>
                <c:pt idx="1">
                  <c:v>BTB</c:v>
                </c:pt>
                <c:pt idx="2">
                  <c:v>Optima</c:v>
                </c:pt>
                <c:pt idx="3">
                  <c:v>Kompanion</c:v>
                </c:pt>
                <c:pt idx="4">
                  <c:v>KICB</c:v>
                </c:pt>
                <c:pt idx="5">
                  <c:v>BoA</c:v>
                </c:pt>
                <c:pt idx="6">
                  <c:v>FINCA</c:v>
                </c:pt>
                <c:pt idx="7">
                  <c:v>ArdShin</c:v>
                </c:pt>
                <c:pt idx="8">
                  <c:v>Ameria</c:v>
                </c:pt>
                <c:pt idx="9">
                  <c:v>Ineco</c:v>
                </c:pt>
                <c:pt idx="10">
                  <c:v>Armeconom</c:v>
                </c:pt>
                <c:pt idx="11">
                  <c:v>ArmSwiss</c:v>
                </c:pt>
                <c:pt idx="12">
                  <c:v>ACBA</c:v>
                </c:pt>
                <c:pt idx="13">
                  <c:v>Ararat</c:v>
                </c:pt>
                <c:pt idx="14">
                  <c:v>BCC</c:v>
                </c:pt>
                <c:pt idx="15">
                  <c:v>Kassa Nova</c:v>
                </c:pt>
                <c:pt idx="16">
                  <c:v>Forte</c:v>
                </c:pt>
                <c:pt idx="17">
                  <c:v>KMF</c:v>
                </c:pt>
                <c:pt idx="18">
                  <c:v>Shinhan</c:v>
                </c:pt>
                <c:pt idx="19">
                  <c:v>CIB</c:v>
                </c:pt>
                <c:pt idx="20">
                  <c:v>BSPB</c:v>
                </c:pt>
                <c:pt idx="21">
                  <c:v>CBM</c:v>
                </c:pt>
              </c:strCache>
            </c:strRef>
          </c:cat>
          <c:val>
            <c:numRef>
              <c:f>charts!$C$162:$C$183</c:f>
              <c:numCache>
                <c:formatCode>0.0%</c:formatCode>
                <c:ptCount val="22"/>
                <c:pt idx="0">
                  <c:v>0.1641</c:v>
                </c:pt>
                <c:pt idx="1">
                  <c:v>0.17407864257739947</c:v>
                </c:pt>
                <c:pt idx="2">
                  <c:v>0.21749289429789084</c:v>
                </c:pt>
                <c:pt idx="3">
                  <c:v>0.25801494108902046</c:v>
                </c:pt>
                <c:pt idx="4">
                  <c:v>0.28899999999999998</c:v>
                </c:pt>
                <c:pt idx="5">
                  <c:v>0.29058690794485104</c:v>
                </c:pt>
                <c:pt idx="6">
                  <c:v>0.30009999999999998</c:v>
                </c:pt>
                <c:pt idx="7">
                  <c:v>0.13</c:v>
                </c:pt>
                <c:pt idx="8">
                  <c:v>0.13700000000000001</c:v>
                </c:pt>
                <c:pt idx="9">
                  <c:v>0.1386</c:v>
                </c:pt>
                <c:pt idx="10">
                  <c:v>0.15409999999999999</c:v>
                </c:pt>
                <c:pt idx="11">
                  <c:v>0.15809999999999999</c:v>
                </c:pt>
                <c:pt idx="12">
                  <c:v>0.15840000000000001</c:v>
                </c:pt>
                <c:pt idx="13">
                  <c:v>0.16209999999999999</c:v>
                </c:pt>
                <c:pt idx="14">
                  <c:v>0.17199999999999999</c:v>
                </c:pt>
                <c:pt idx="15">
                  <c:v>0.17699999999999999</c:v>
                </c:pt>
                <c:pt idx="16">
                  <c:v>0.17799999999999999</c:v>
                </c:pt>
                <c:pt idx="17">
                  <c:v>0.22589999999999999</c:v>
                </c:pt>
                <c:pt idx="18">
                  <c:v>1.0069999999999999</c:v>
                </c:pt>
                <c:pt idx="19">
                  <c:v>0.1123</c:v>
                </c:pt>
                <c:pt idx="20">
                  <c:v>0.14610000000000001</c:v>
                </c:pt>
                <c:pt idx="21">
                  <c:v>0.19639999999999999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E-4FAA-9E95-FBDED52BA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36467512"/>
        <c:axId val="1033743616"/>
      </c:barChart>
      <c:catAx>
        <c:axId val="1036467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3743616"/>
        <c:crosses val="autoZero"/>
        <c:auto val="1"/>
        <c:lblAlgn val="ctr"/>
        <c:lblOffset val="100"/>
        <c:noMultiLvlLbl val="0"/>
      </c:catAx>
      <c:valAx>
        <c:axId val="1033743616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6467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1200" b="1" i="1">
                <a:latin typeface="Arial Narrow" panose="020B0606020202030204" pitchFamily="34" charset="0"/>
              </a:rPr>
              <a:t>Wholesale repayments over the next 12 months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charts!$C$161</c:f>
              <c:strCache>
                <c:ptCount val="1"/>
                <c:pt idx="0">
                  <c:v>Local CAR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charts!$B$229:$B$250</c:f>
              <c:strCache>
                <c:ptCount val="22"/>
                <c:pt idx="0">
                  <c:v>DKIB</c:v>
                </c:pt>
                <c:pt idx="1">
                  <c:v>Optima</c:v>
                </c:pt>
                <c:pt idx="2">
                  <c:v>Kompanion</c:v>
                </c:pt>
                <c:pt idx="3">
                  <c:v>KICB</c:v>
                </c:pt>
                <c:pt idx="4">
                  <c:v>BoA</c:v>
                </c:pt>
                <c:pt idx="5">
                  <c:v>FINCA</c:v>
                </c:pt>
                <c:pt idx="6">
                  <c:v>BTB</c:v>
                </c:pt>
                <c:pt idx="7">
                  <c:v>Ineco</c:v>
                </c:pt>
                <c:pt idx="8">
                  <c:v>ArmSwiss</c:v>
                </c:pt>
                <c:pt idx="9">
                  <c:v>ACBA</c:v>
                </c:pt>
                <c:pt idx="10">
                  <c:v>Ararat</c:v>
                </c:pt>
                <c:pt idx="11">
                  <c:v>Ameria</c:v>
                </c:pt>
                <c:pt idx="12">
                  <c:v>ArdShin</c:v>
                </c:pt>
                <c:pt idx="13">
                  <c:v>Armeconom</c:v>
                </c:pt>
                <c:pt idx="14">
                  <c:v>Kassa Nova</c:v>
                </c:pt>
                <c:pt idx="15">
                  <c:v>Shinhan</c:v>
                </c:pt>
                <c:pt idx="16">
                  <c:v>Forte</c:v>
                </c:pt>
                <c:pt idx="17">
                  <c:v>BCC</c:v>
                </c:pt>
                <c:pt idx="18">
                  <c:v>KMF</c:v>
                </c:pt>
                <c:pt idx="19">
                  <c:v>CIB</c:v>
                </c:pt>
                <c:pt idx="20">
                  <c:v>BSPB</c:v>
                </c:pt>
                <c:pt idx="21">
                  <c:v>CBM</c:v>
                </c:pt>
              </c:strCache>
            </c:strRef>
          </c:cat>
          <c:val>
            <c:numRef>
              <c:f>charts!$C$229:$C$250</c:f>
              <c:numCache>
                <c:formatCode>0.0%</c:formatCode>
                <c:ptCount val="22"/>
                <c:pt idx="0">
                  <c:v>2.0164880210590423E-2</c:v>
                </c:pt>
                <c:pt idx="1">
                  <c:v>5.6847723404395534E-2</c:v>
                </c:pt>
                <c:pt idx="2">
                  <c:v>7.896190080951257E-2</c:v>
                </c:pt>
                <c:pt idx="3">
                  <c:v>9.3043314820965575E-2</c:v>
                </c:pt>
                <c:pt idx="4">
                  <c:v>0.11023637927574624</c:v>
                </c:pt>
                <c:pt idx="5">
                  <c:v>0.15321052020275455</c:v>
                </c:pt>
                <c:pt idx="6">
                  <c:v>0.19636528862455369</c:v>
                </c:pt>
                <c:pt idx="7">
                  <c:v>3.1854387735617447E-2</c:v>
                </c:pt>
                <c:pt idx="8">
                  <c:v>5.4669189771010922E-2</c:v>
                </c:pt>
                <c:pt idx="9">
                  <c:v>8.163323585853971E-2</c:v>
                </c:pt>
                <c:pt idx="10">
                  <c:v>8.7255104237683456E-2</c:v>
                </c:pt>
                <c:pt idx="11">
                  <c:v>0.11530969104635908</c:v>
                </c:pt>
                <c:pt idx="12">
                  <c:v>0.14239398262222799</c:v>
                </c:pt>
                <c:pt idx="13">
                  <c:v>0.22067674922851307</c:v>
                </c:pt>
                <c:pt idx="14">
                  <c:v>2.5432000348372539E-2</c:v>
                </c:pt>
                <c:pt idx="15">
                  <c:v>5.4940109309029699E-2</c:v>
                </c:pt>
                <c:pt idx="16">
                  <c:v>5.5652111092227674E-2</c:v>
                </c:pt>
                <c:pt idx="17">
                  <c:v>6.5131509593084544E-2</c:v>
                </c:pt>
                <c:pt idx="18">
                  <c:v>0.39297040430329022</c:v>
                </c:pt>
                <c:pt idx="19">
                  <c:v>2.1937296839713169E-2</c:v>
                </c:pt>
                <c:pt idx="20">
                  <c:v>0.26486655610422594</c:v>
                </c:pt>
                <c:pt idx="21">
                  <c:v>0.26759996961686022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6-4C3E-8FDB-4EFAB765C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36467512"/>
        <c:axId val="1033743616"/>
      </c:barChart>
      <c:catAx>
        <c:axId val="1036467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3743616"/>
        <c:crosses val="autoZero"/>
        <c:auto val="1"/>
        <c:lblAlgn val="ctr"/>
        <c:lblOffset val="100"/>
        <c:noMultiLvlLbl val="0"/>
      </c:catAx>
      <c:valAx>
        <c:axId val="1033743616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6467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1200" b="1" i="1">
                <a:latin typeface="Arial Narrow" panose="020B0606020202030204" pitchFamily="34" charset="0"/>
              </a:rPr>
              <a:t>RoAE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charts!$C$38</c:f>
              <c:strCache>
                <c:ptCount val="1"/>
                <c:pt idx="0">
                  <c:v>ROAE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A4-424A-B47C-4A479267C02A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A4-424A-B47C-4A479267C02A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2A4-424A-B47C-4A479267C02A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2A4-424A-B47C-4A479267C02A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92A4-424A-B47C-4A479267C02A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2A4-424A-B47C-4A479267C02A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92A4-424A-B47C-4A479267C02A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E00-4204-A5B2-8DB81E581B7E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303-4CAF-87E3-D2029007E409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303-4CAF-87E3-D2029007E409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303-4CAF-87E3-D2029007E409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465D-4F59-AC23-F38E6974EAA0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465D-4F59-AC23-F38E6974EAA0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465D-4F59-AC23-F38E6974EAA0}"/>
              </c:ext>
            </c:extLst>
          </c:dPt>
          <c:dPt>
            <c:idx val="1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F4A-4232-8279-C048BCDE4121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B0FA-49D3-8B50-A63C9FFAE94C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50"/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F4A-4232-8279-C048BCDE4121}"/>
              </c:ext>
            </c:extLst>
          </c:dPt>
          <c:dPt>
            <c:idx val="2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FF4A-4232-8279-C048BCDE41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charts!$B$39:$B$60</c:f>
              <c:strCache>
                <c:ptCount val="22"/>
                <c:pt idx="0">
                  <c:v>BTB</c:v>
                </c:pt>
                <c:pt idx="1">
                  <c:v>BoA</c:v>
                </c:pt>
                <c:pt idx="2">
                  <c:v>KICB</c:v>
                </c:pt>
                <c:pt idx="3">
                  <c:v>Optima</c:v>
                </c:pt>
                <c:pt idx="4">
                  <c:v>Kompanion</c:v>
                </c:pt>
                <c:pt idx="5">
                  <c:v>FINCA</c:v>
                </c:pt>
                <c:pt idx="6">
                  <c:v>DKIB</c:v>
                </c:pt>
                <c:pt idx="7">
                  <c:v>Ararat</c:v>
                </c:pt>
                <c:pt idx="8">
                  <c:v>Armeconom</c:v>
                </c:pt>
                <c:pt idx="9">
                  <c:v>ArdShin</c:v>
                </c:pt>
                <c:pt idx="10">
                  <c:v>ACBA</c:v>
                </c:pt>
                <c:pt idx="11">
                  <c:v>ArmSwiss</c:v>
                </c:pt>
                <c:pt idx="12">
                  <c:v>Ameria</c:v>
                </c:pt>
                <c:pt idx="13">
                  <c:v>Ineco</c:v>
                </c:pt>
                <c:pt idx="14">
                  <c:v>Shinhan</c:v>
                </c:pt>
                <c:pt idx="15">
                  <c:v>BCC</c:v>
                </c:pt>
                <c:pt idx="16">
                  <c:v>Kassa Nova</c:v>
                </c:pt>
                <c:pt idx="17">
                  <c:v>Forte</c:v>
                </c:pt>
                <c:pt idx="18">
                  <c:v>KMF</c:v>
                </c:pt>
                <c:pt idx="19">
                  <c:v>CIB</c:v>
                </c:pt>
                <c:pt idx="20">
                  <c:v>BSPB</c:v>
                </c:pt>
                <c:pt idx="21">
                  <c:v>CBM</c:v>
                </c:pt>
              </c:strCache>
            </c:strRef>
          </c:cat>
          <c:val>
            <c:numRef>
              <c:f>charts!$C$39:$C$60</c:f>
              <c:numCache>
                <c:formatCode>0.0%</c:formatCode>
                <c:ptCount val="22"/>
                <c:pt idx="0">
                  <c:v>4.1102175807470692E-2</c:v>
                </c:pt>
                <c:pt idx="1">
                  <c:v>7.4667672761964274E-2</c:v>
                </c:pt>
                <c:pt idx="2">
                  <c:v>9.3509807511656412E-2</c:v>
                </c:pt>
                <c:pt idx="3">
                  <c:v>0.18626112858178745</c:v>
                </c:pt>
                <c:pt idx="4">
                  <c:v>0.19682528446991807</c:v>
                </c:pt>
                <c:pt idx="5">
                  <c:v>0.22237622580823727</c:v>
                </c:pt>
                <c:pt idx="6">
                  <c:v>0.2286881461661317</c:v>
                </c:pt>
                <c:pt idx="7">
                  <c:v>1.4232707537243174E-2</c:v>
                </c:pt>
                <c:pt idx="8">
                  <c:v>6.4955407090112841E-2</c:v>
                </c:pt>
                <c:pt idx="9">
                  <c:v>9.4004677716925486E-2</c:v>
                </c:pt>
                <c:pt idx="10">
                  <c:v>0.10025356271665169</c:v>
                </c:pt>
                <c:pt idx="11">
                  <c:v>0.12665079563964415</c:v>
                </c:pt>
                <c:pt idx="12">
                  <c:v>0.13154301890101081</c:v>
                </c:pt>
                <c:pt idx="13">
                  <c:v>0.16016328490815224</c:v>
                </c:pt>
                <c:pt idx="14">
                  <c:v>6.2807293547537016E-2</c:v>
                </c:pt>
                <c:pt idx="15">
                  <c:v>7.7709646115577097E-2</c:v>
                </c:pt>
                <c:pt idx="16">
                  <c:v>0.10156941932618897</c:v>
                </c:pt>
                <c:pt idx="17">
                  <c:v>0.14744200182352346</c:v>
                </c:pt>
                <c:pt idx="18">
                  <c:v>0.40885832922865162</c:v>
                </c:pt>
                <c:pt idx="19">
                  <c:v>0.11895080154326854</c:v>
                </c:pt>
                <c:pt idx="20">
                  <c:v>0.1234537994734088</c:v>
                </c:pt>
                <c:pt idx="21">
                  <c:v>0.19324864862946362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F-4539-9C0D-1469918F1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36467512"/>
        <c:axId val="1033743616"/>
      </c:barChart>
      <c:catAx>
        <c:axId val="1036467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3743616"/>
        <c:crosses val="autoZero"/>
        <c:auto val="1"/>
        <c:lblAlgn val="ctr"/>
        <c:lblOffset val="100"/>
        <c:noMultiLvlLbl val="0"/>
      </c:catAx>
      <c:valAx>
        <c:axId val="1033743616"/>
        <c:scaling>
          <c:orientation val="minMax"/>
          <c:max val="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6467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1200" b="1" i="1">
                <a:latin typeface="Arial Narrow" panose="020B0606020202030204" pitchFamily="34" charset="0"/>
              </a:rPr>
              <a:t>Assets growth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charts!$C$4</c:f>
              <c:strCache>
                <c:ptCount val="1"/>
                <c:pt idx="0">
                  <c:v>Assets growth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charts!$B$5:$B$26</c:f>
              <c:strCache>
                <c:ptCount val="22"/>
                <c:pt idx="0">
                  <c:v>KICB</c:v>
                </c:pt>
                <c:pt idx="1">
                  <c:v>BTB</c:v>
                </c:pt>
                <c:pt idx="2">
                  <c:v>FINCA</c:v>
                </c:pt>
                <c:pt idx="3">
                  <c:v>DKIB</c:v>
                </c:pt>
                <c:pt idx="4">
                  <c:v>Optima</c:v>
                </c:pt>
                <c:pt idx="5">
                  <c:v>Kompanion</c:v>
                </c:pt>
                <c:pt idx="6">
                  <c:v>BoA</c:v>
                </c:pt>
                <c:pt idx="7">
                  <c:v>Ararat</c:v>
                </c:pt>
                <c:pt idx="8">
                  <c:v>Ineco</c:v>
                </c:pt>
                <c:pt idx="9">
                  <c:v>ACBA</c:v>
                </c:pt>
                <c:pt idx="10">
                  <c:v>Ameria</c:v>
                </c:pt>
                <c:pt idx="11">
                  <c:v>Armeconom</c:v>
                </c:pt>
                <c:pt idx="12">
                  <c:v>ArdShin</c:v>
                </c:pt>
                <c:pt idx="13">
                  <c:v>ArmSwiss</c:v>
                </c:pt>
                <c:pt idx="14">
                  <c:v>Kassa Nova</c:v>
                </c:pt>
                <c:pt idx="15">
                  <c:v>BCC</c:v>
                </c:pt>
                <c:pt idx="16">
                  <c:v>Forte</c:v>
                </c:pt>
                <c:pt idx="17">
                  <c:v>KMF</c:v>
                </c:pt>
                <c:pt idx="18">
                  <c:v>Shinhan</c:v>
                </c:pt>
                <c:pt idx="19">
                  <c:v>CIB</c:v>
                </c:pt>
                <c:pt idx="20">
                  <c:v>BSPB</c:v>
                </c:pt>
                <c:pt idx="21">
                  <c:v>CBM</c:v>
                </c:pt>
              </c:strCache>
            </c:strRef>
          </c:cat>
          <c:val>
            <c:numRef>
              <c:f>charts!$C$5:$C$26</c:f>
              <c:numCache>
                <c:formatCode>0.0%</c:formatCode>
                <c:ptCount val="22"/>
                <c:pt idx="0">
                  <c:v>-5.5381575198766297E-3</c:v>
                </c:pt>
                <c:pt idx="1">
                  <c:v>3.9186032737953846E-2</c:v>
                </c:pt>
                <c:pt idx="2">
                  <c:v>8.8798649190578782E-2</c:v>
                </c:pt>
                <c:pt idx="3">
                  <c:v>0.11399360211024323</c:v>
                </c:pt>
                <c:pt idx="4">
                  <c:v>0.19276071904551051</c:v>
                </c:pt>
                <c:pt idx="5">
                  <c:v>0.26826012857862391</c:v>
                </c:pt>
                <c:pt idx="6">
                  <c:v>0.32881448140847747</c:v>
                </c:pt>
                <c:pt idx="7">
                  <c:v>4.9338962389807506E-2</c:v>
                </c:pt>
                <c:pt idx="8">
                  <c:v>5.5535160270945294E-2</c:v>
                </c:pt>
                <c:pt idx="9">
                  <c:v>0.1262539358872512</c:v>
                </c:pt>
                <c:pt idx="10">
                  <c:v>0.1505617347525976</c:v>
                </c:pt>
                <c:pt idx="11">
                  <c:v>0.16506553880180075</c:v>
                </c:pt>
                <c:pt idx="12">
                  <c:v>0.19441383656212263</c:v>
                </c:pt>
                <c:pt idx="13">
                  <c:v>0.42244008445591374</c:v>
                </c:pt>
                <c:pt idx="14">
                  <c:v>0.1322959309223426</c:v>
                </c:pt>
                <c:pt idx="15">
                  <c:v>0.14074579593505598</c:v>
                </c:pt>
                <c:pt idx="16">
                  <c:v>0.16895766419315539</c:v>
                </c:pt>
                <c:pt idx="17">
                  <c:v>0.33478895677762344</c:v>
                </c:pt>
                <c:pt idx="18">
                  <c:v>0.40488396819263817</c:v>
                </c:pt>
                <c:pt idx="19">
                  <c:v>9.3060578112475589E-2</c:v>
                </c:pt>
                <c:pt idx="20">
                  <c:v>0.10965327583282858</c:v>
                </c:pt>
                <c:pt idx="21">
                  <c:v>0.13649890291819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7-46A0-A404-145769980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36467512"/>
        <c:axId val="1033743616"/>
      </c:barChart>
      <c:catAx>
        <c:axId val="1036467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3743616"/>
        <c:crosses val="autoZero"/>
        <c:auto val="1"/>
        <c:lblAlgn val="ctr"/>
        <c:lblOffset val="100"/>
        <c:noMultiLvlLbl val="0"/>
      </c:catAx>
      <c:valAx>
        <c:axId val="1033743616"/>
        <c:scaling>
          <c:orientation val="minMax"/>
          <c:max val="0.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6467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1200" b="1" i="1">
                <a:latin typeface="Arial Narrow" panose="020B0606020202030204" pitchFamily="34" charset="0"/>
              </a:rPr>
              <a:t>Portfolio quality - Stage 3 loans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charts!$D$71</c:f>
              <c:strCache>
                <c:ptCount val="1"/>
                <c:pt idx="0">
                  <c:v>Stage 3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CF4-4259-AE3A-08FA9528D6D6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72-44B7-A9F7-E15237DE95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charts!$B$72:$B$93</c:f>
              <c:strCache>
                <c:ptCount val="22"/>
                <c:pt idx="0">
                  <c:v>BoA</c:v>
                </c:pt>
                <c:pt idx="1">
                  <c:v>FINCA</c:v>
                </c:pt>
                <c:pt idx="2">
                  <c:v>Kompanion</c:v>
                </c:pt>
                <c:pt idx="3">
                  <c:v>DKIB</c:v>
                </c:pt>
                <c:pt idx="4">
                  <c:v>BTB</c:v>
                </c:pt>
                <c:pt idx="5">
                  <c:v>KICB</c:v>
                </c:pt>
                <c:pt idx="6">
                  <c:v>Optima</c:v>
                </c:pt>
                <c:pt idx="7">
                  <c:v>Armeconom</c:v>
                </c:pt>
                <c:pt idx="8">
                  <c:v>ArmSwiss</c:v>
                </c:pt>
                <c:pt idx="9">
                  <c:v>Ararat</c:v>
                </c:pt>
                <c:pt idx="10">
                  <c:v>Ameria</c:v>
                </c:pt>
                <c:pt idx="11">
                  <c:v>ArdShin</c:v>
                </c:pt>
                <c:pt idx="12">
                  <c:v>Ineco</c:v>
                </c:pt>
                <c:pt idx="13">
                  <c:v>ACBA</c:v>
                </c:pt>
                <c:pt idx="14">
                  <c:v>KMF</c:v>
                </c:pt>
                <c:pt idx="15">
                  <c:v>Kassa Nova</c:v>
                </c:pt>
                <c:pt idx="16">
                  <c:v>Shinhan</c:v>
                </c:pt>
                <c:pt idx="17">
                  <c:v>Forte</c:v>
                </c:pt>
                <c:pt idx="18">
                  <c:v>BCC</c:v>
                </c:pt>
                <c:pt idx="19">
                  <c:v>CBM</c:v>
                </c:pt>
                <c:pt idx="20">
                  <c:v>CIB</c:v>
                </c:pt>
                <c:pt idx="21">
                  <c:v>BSPB</c:v>
                </c:pt>
              </c:strCache>
            </c:strRef>
          </c:cat>
          <c:val>
            <c:numRef>
              <c:f>charts!$D$72:$D$93</c:f>
              <c:numCache>
                <c:formatCode>0.0%</c:formatCode>
                <c:ptCount val="22"/>
                <c:pt idx="0">
                  <c:v>1.2381316649926902E-2</c:v>
                </c:pt>
                <c:pt idx="1">
                  <c:v>1.913520968998219E-2</c:v>
                </c:pt>
                <c:pt idx="2">
                  <c:v>1.9228901319861293E-2</c:v>
                </c:pt>
                <c:pt idx="3">
                  <c:v>3.4901116574588428E-2</c:v>
                </c:pt>
                <c:pt idx="4">
                  <c:v>4.1162524802513208E-2</c:v>
                </c:pt>
                <c:pt idx="5">
                  <c:v>4.9782805888749289E-2</c:v>
                </c:pt>
                <c:pt idx="6">
                  <c:v>0.13736938936194285</c:v>
                </c:pt>
                <c:pt idx="7">
                  <c:v>1.264484260498547E-3</c:v>
                </c:pt>
                <c:pt idx="8">
                  <c:v>2.4137610907017147E-3</c:v>
                </c:pt>
                <c:pt idx="9">
                  <c:v>5.9977477845054106E-3</c:v>
                </c:pt>
                <c:pt idx="10">
                  <c:v>1.8666562628569808E-2</c:v>
                </c:pt>
                <c:pt idx="11">
                  <c:v>2.5317206464868985E-2</c:v>
                </c:pt>
                <c:pt idx="12">
                  <c:v>3.1691568082198238E-2</c:v>
                </c:pt>
                <c:pt idx="13">
                  <c:v>4.7311043637593982E-2</c:v>
                </c:pt>
                <c:pt idx="14">
                  <c:v>2.8575169764932479E-2</c:v>
                </c:pt>
                <c:pt idx="15">
                  <c:v>0.16904029249171773</c:v>
                </c:pt>
                <c:pt idx="16">
                  <c:v>0.17877298223494953</c:v>
                </c:pt>
                <c:pt idx="17">
                  <c:v>0.25161182908188012</c:v>
                </c:pt>
                <c:pt idx="18">
                  <c:v>0.27547092893003916</c:v>
                </c:pt>
                <c:pt idx="19">
                  <c:v>3.9017417186957441E-2</c:v>
                </c:pt>
                <c:pt idx="20">
                  <c:v>0.10345366962006795</c:v>
                </c:pt>
                <c:pt idx="21">
                  <c:v>0.10779108740049061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4-4259-AE3A-08FA9528D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1036467512"/>
        <c:axId val="1033743616"/>
      </c:barChart>
      <c:catAx>
        <c:axId val="1036467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3743616"/>
        <c:crosses val="autoZero"/>
        <c:auto val="1"/>
        <c:lblAlgn val="ctr"/>
        <c:lblOffset val="100"/>
        <c:noMultiLvlLbl val="0"/>
      </c:catAx>
      <c:valAx>
        <c:axId val="1033743616"/>
        <c:scaling>
          <c:orientation val="minMax"/>
          <c:max val="0.2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6467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1200" b="1" i="1">
                <a:latin typeface="Arial Narrow" panose="020B0606020202030204" pitchFamily="34" charset="0"/>
              </a:rPr>
              <a:t>Capital cushion above reg minimum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solidFill>
                <a:srgbClr val="FFFFFF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9C-4BA8-B2F9-3FCC35FAE34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79C-4BA8-B2F9-3FCC35FAE34B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79C-4BA8-B2F9-3FCC35FAE34B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A9-4272-AF61-7673F506F5CA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A9-4272-AF61-7673F506F5CA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496-4D77-B4FC-C2AD155C0F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charts!$B$162:$B$183</c:f>
              <c:strCache>
                <c:ptCount val="22"/>
                <c:pt idx="0">
                  <c:v>DKIB</c:v>
                </c:pt>
                <c:pt idx="1">
                  <c:v>BTB</c:v>
                </c:pt>
                <c:pt idx="2">
                  <c:v>Optima</c:v>
                </c:pt>
                <c:pt idx="3">
                  <c:v>Kompanion</c:v>
                </c:pt>
                <c:pt idx="4">
                  <c:v>KICB</c:v>
                </c:pt>
                <c:pt idx="5">
                  <c:v>BoA</c:v>
                </c:pt>
                <c:pt idx="6">
                  <c:v>FINCA</c:v>
                </c:pt>
                <c:pt idx="7">
                  <c:v>ArdShin</c:v>
                </c:pt>
                <c:pt idx="8">
                  <c:v>Ameria</c:v>
                </c:pt>
                <c:pt idx="9">
                  <c:v>Ineco</c:v>
                </c:pt>
                <c:pt idx="10">
                  <c:v>Armeconom</c:v>
                </c:pt>
                <c:pt idx="11">
                  <c:v>ArmSwiss</c:v>
                </c:pt>
                <c:pt idx="12">
                  <c:v>ACBA</c:v>
                </c:pt>
                <c:pt idx="13">
                  <c:v>Ararat</c:v>
                </c:pt>
                <c:pt idx="14">
                  <c:v>BCC</c:v>
                </c:pt>
                <c:pt idx="15">
                  <c:v>Kassa Nova</c:v>
                </c:pt>
                <c:pt idx="16">
                  <c:v>Forte</c:v>
                </c:pt>
                <c:pt idx="17">
                  <c:v>KMF</c:v>
                </c:pt>
                <c:pt idx="18">
                  <c:v>Shinhan</c:v>
                </c:pt>
                <c:pt idx="19">
                  <c:v>CIB</c:v>
                </c:pt>
                <c:pt idx="20">
                  <c:v>BSPB</c:v>
                </c:pt>
                <c:pt idx="21">
                  <c:v>CBM</c:v>
                </c:pt>
              </c:strCache>
            </c:strRef>
          </c:cat>
          <c:val>
            <c:numRef>
              <c:f>charts!$G$162:$G$183</c:f>
              <c:numCache>
                <c:formatCode>0.0%</c:formatCode>
                <c:ptCount val="22"/>
                <c:pt idx="0">
                  <c:v>4.41E-2</c:v>
                </c:pt>
                <c:pt idx="1">
                  <c:v>5.4078642577399472E-2</c:v>
                </c:pt>
                <c:pt idx="2">
                  <c:v>9.7492894297890847E-2</c:v>
                </c:pt>
                <c:pt idx="3">
                  <c:v>0.13801494108902046</c:v>
                </c:pt>
                <c:pt idx="4">
                  <c:v>0.16899999999999998</c:v>
                </c:pt>
                <c:pt idx="5">
                  <c:v>0.17058690794485104</c:v>
                </c:pt>
                <c:pt idx="6">
                  <c:v>0.18009999999999998</c:v>
                </c:pt>
                <c:pt idx="7">
                  <c:v>1.0000000000000009E-2</c:v>
                </c:pt>
                <c:pt idx="8">
                  <c:v>1.7000000000000015E-2</c:v>
                </c:pt>
                <c:pt idx="9">
                  <c:v>1.8600000000000005E-2</c:v>
                </c:pt>
                <c:pt idx="10">
                  <c:v>3.4099999999999991E-2</c:v>
                </c:pt>
                <c:pt idx="11">
                  <c:v>3.8099999999999995E-2</c:v>
                </c:pt>
                <c:pt idx="12">
                  <c:v>3.8400000000000017E-2</c:v>
                </c:pt>
                <c:pt idx="13">
                  <c:v>4.2099999999999999E-2</c:v>
                </c:pt>
                <c:pt idx="14">
                  <c:v>9.1999999999999985E-2</c:v>
                </c:pt>
                <c:pt idx="15">
                  <c:v>9.6999999999999989E-2</c:v>
                </c:pt>
                <c:pt idx="16">
                  <c:v>9.799999999999999E-2</c:v>
                </c:pt>
                <c:pt idx="17">
                  <c:v>0.14589999999999997</c:v>
                </c:pt>
                <c:pt idx="18">
                  <c:v>0.92699999999999994</c:v>
                </c:pt>
                <c:pt idx="19">
                  <c:v>7.3000000000000009E-3</c:v>
                </c:pt>
                <c:pt idx="20">
                  <c:v>4.1100000000000012E-2</c:v>
                </c:pt>
                <c:pt idx="21">
                  <c:v>9.1399999999999995E-2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79C-4BA8-B2F9-3FCC35FAE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36467512"/>
        <c:axId val="1033743616"/>
      </c:barChart>
      <c:catAx>
        <c:axId val="1036467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3743616"/>
        <c:crosses val="autoZero"/>
        <c:auto val="1"/>
        <c:lblAlgn val="ctr"/>
        <c:lblOffset val="100"/>
        <c:noMultiLvlLbl val="0"/>
      </c:catAx>
      <c:valAx>
        <c:axId val="1033743616"/>
        <c:scaling>
          <c:orientation val="minMax"/>
          <c:max val="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6467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1200" b="1" i="1">
                <a:latin typeface="Arial Narrow" panose="020B0606020202030204" pitchFamily="34" charset="0"/>
              </a:rPr>
              <a:t>FX exposure as % of NLP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charts!$C$71</c:f>
              <c:strCache>
                <c:ptCount val="1"/>
                <c:pt idx="0">
                  <c:v>Stage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charts!$B$127:$B$148</c:f>
              <c:strCache>
                <c:ptCount val="22"/>
                <c:pt idx="0">
                  <c:v>Kompanion</c:v>
                </c:pt>
                <c:pt idx="1">
                  <c:v>FINCA</c:v>
                </c:pt>
                <c:pt idx="2">
                  <c:v>BTB</c:v>
                </c:pt>
                <c:pt idx="3">
                  <c:v>BoA</c:v>
                </c:pt>
                <c:pt idx="4">
                  <c:v>DKIB</c:v>
                </c:pt>
                <c:pt idx="5">
                  <c:v>Optima</c:v>
                </c:pt>
                <c:pt idx="6">
                  <c:v>KICB</c:v>
                </c:pt>
                <c:pt idx="7">
                  <c:v>ACBA</c:v>
                </c:pt>
                <c:pt idx="8">
                  <c:v>Armeconom</c:v>
                </c:pt>
                <c:pt idx="9">
                  <c:v>Ineco</c:v>
                </c:pt>
                <c:pt idx="10">
                  <c:v>ArdShin</c:v>
                </c:pt>
                <c:pt idx="11">
                  <c:v>Ararat</c:v>
                </c:pt>
                <c:pt idx="12">
                  <c:v>Ameria</c:v>
                </c:pt>
                <c:pt idx="13">
                  <c:v>ArmSwiss</c:v>
                </c:pt>
                <c:pt idx="14">
                  <c:v>KMF</c:v>
                </c:pt>
                <c:pt idx="15">
                  <c:v>Kassa Nova</c:v>
                </c:pt>
                <c:pt idx="16">
                  <c:v>Shinhan</c:v>
                </c:pt>
                <c:pt idx="17">
                  <c:v>BCC</c:v>
                </c:pt>
                <c:pt idx="18">
                  <c:v>Forte</c:v>
                </c:pt>
                <c:pt idx="19">
                  <c:v>CIB</c:v>
                </c:pt>
                <c:pt idx="20">
                  <c:v>BSPB</c:v>
                </c:pt>
                <c:pt idx="21">
                  <c:v>CBM</c:v>
                </c:pt>
              </c:strCache>
            </c:strRef>
          </c:cat>
          <c:val>
            <c:numRef>
              <c:f>charts!$C$127:$C$148</c:f>
              <c:numCache>
                <c:formatCode>0.0%</c:formatCode>
                <c:ptCount val="22"/>
                <c:pt idx="0">
                  <c:v>3.04718162890837E-2</c:v>
                </c:pt>
                <c:pt idx="1">
                  <c:v>6.340154310634015E-2</c:v>
                </c:pt>
                <c:pt idx="2">
                  <c:v>0.15612595472448842</c:v>
                </c:pt>
                <c:pt idx="3">
                  <c:v>0.28638534010490779</c:v>
                </c:pt>
                <c:pt idx="4">
                  <c:v>0.42034676471856536</c:v>
                </c:pt>
                <c:pt idx="5">
                  <c:v>0.4738956220766159</c:v>
                </c:pt>
                <c:pt idx="6">
                  <c:v>0.50121978015786717</c:v>
                </c:pt>
                <c:pt idx="7">
                  <c:v>0.24487760294227498</c:v>
                </c:pt>
                <c:pt idx="8">
                  <c:v>0.46242411245775811</c:v>
                </c:pt>
                <c:pt idx="9">
                  <c:v>0.49196399113918082</c:v>
                </c:pt>
                <c:pt idx="10">
                  <c:v>0.57355800800694778</c:v>
                </c:pt>
                <c:pt idx="11">
                  <c:v>0.69127511301878475</c:v>
                </c:pt>
                <c:pt idx="12">
                  <c:v>0.76554187296948373</c:v>
                </c:pt>
                <c:pt idx="13">
                  <c:v>0.77407461439503455</c:v>
                </c:pt>
                <c:pt idx="14">
                  <c:v>0</c:v>
                </c:pt>
                <c:pt idx="15">
                  <c:v>2.1140412826523302E-2</c:v>
                </c:pt>
                <c:pt idx="16">
                  <c:v>0.11165218100369663</c:v>
                </c:pt>
                <c:pt idx="17">
                  <c:v>0.19839797855891525</c:v>
                </c:pt>
                <c:pt idx="18">
                  <c:v>0.20511196935492751</c:v>
                </c:pt>
                <c:pt idx="19">
                  <c:v>2.4742454192659531E-2</c:v>
                </c:pt>
                <c:pt idx="20">
                  <c:v>0.21577102384678593</c:v>
                </c:pt>
                <c:pt idx="21">
                  <c:v>0.41244995818307839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28-42F8-91FF-558A73566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1036467512"/>
        <c:axId val="1033743616"/>
      </c:barChart>
      <c:catAx>
        <c:axId val="1036467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3743616"/>
        <c:crosses val="autoZero"/>
        <c:auto val="1"/>
        <c:lblAlgn val="ctr"/>
        <c:lblOffset val="100"/>
        <c:noMultiLvlLbl val="0"/>
      </c:catAx>
      <c:valAx>
        <c:axId val="1033743616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6467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1200" b="1" i="1">
                <a:latin typeface="Arial Narrow" panose="020B0606020202030204" pitchFamily="34" charset="0"/>
              </a:rPr>
              <a:t>FX exposure as % of NAV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charts!$E$71</c:f>
              <c:strCache>
                <c:ptCount val="1"/>
                <c:pt idx="0">
                  <c:v>2+3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charts!$B$127:$B$148</c:f>
              <c:strCache>
                <c:ptCount val="22"/>
                <c:pt idx="0">
                  <c:v>Kompanion</c:v>
                </c:pt>
                <c:pt idx="1">
                  <c:v>FINCA</c:v>
                </c:pt>
                <c:pt idx="2">
                  <c:v>BTB</c:v>
                </c:pt>
                <c:pt idx="3">
                  <c:v>BoA</c:v>
                </c:pt>
                <c:pt idx="4">
                  <c:v>DKIB</c:v>
                </c:pt>
                <c:pt idx="5">
                  <c:v>Optima</c:v>
                </c:pt>
                <c:pt idx="6">
                  <c:v>KICB</c:v>
                </c:pt>
                <c:pt idx="7">
                  <c:v>ACBA</c:v>
                </c:pt>
                <c:pt idx="8">
                  <c:v>Armeconom</c:v>
                </c:pt>
                <c:pt idx="9">
                  <c:v>Ineco</c:v>
                </c:pt>
                <c:pt idx="10">
                  <c:v>ArdShin</c:v>
                </c:pt>
                <c:pt idx="11">
                  <c:v>Ararat</c:v>
                </c:pt>
                <c:pt idx="12">
                  <c:v>Ameria</c:v>
                </c:pt>
                <c:pt idx="13">
                  <c:v>ArmSwiss</c:v>
                </c:pt>
                <c:pt idx="14">
                  <c:v>KMF</c:v>
                </c:pt>
                <c:pt idx="15">
                  <c:v>Kassa Nova</c:v>
                </c:pt>
                <c:pt idx="16">
                  <c:v>Shinhan</c:v>
                </c:pt>
                <c:pt idx="17">
                  <c:v>BCC</c:v>
                </c:pt>
                <c:pt idx="18">
                  <c:v>Forte</c:v>
                </c:pt>
                <c:pt idx="19">
                  <c:v>CIB</c:v>
                </c:pt>
                <c:pt idx="20">
                  <c:v>BSPB</c:v>
                </c:pt>
                <c:pt idx="21">
                  <c:v>CBM</c:v>
                </c:pt>
              </c:strCache>
            </c:strRef>
          </c:cat>
          <c:val>
            <c:numRef>
              <c:f>charts!$D$127:$D$148</c:f>
              <c:numCache>
                <c:formatCode>0.0%</c:formatCode>
                <c:ptCount val="22"/>
                <c:pt idx="0">
                  <c:v>0.1019625810586418</c:v>
                </c:pt>
                <c:pt idx="1">
                  <c:v>0.2000842373858604</c:v>
                </c:pt>
                <c:pt idx="2">
                  <c:v>0.87155585377041067</c:v>
                </c:pt>
                <c:pt idx="3">
                  <c:v>0.69694946855955764</c:v>
                </c:pt>
                <c:pt idx="4">
                  <c:v>1.5045149875166901</c:v>
                </c:pt>
                <c:pt idx="5">
                  <c:v>2.0709879535189044</c:v>
                </c:pt>
                <c:pt idx="6">
                  <c:v>1.2242757861418838</c:v>
                </c:pt>
                <c:pt idx="7">
                  <c:v>0.86643345771144276</c:v>
                </c:pt>
                <c:pt idx="8">
                  <c:v>1.8646569460595759</c:v>
                </c:pt>
                <c:pt idx="9">
                  <c:v>2.0187602746349484</c:v>
                </c:pt>
                <c:pt idx="10">
                  <c:v>3.8019489181257811</c:v>
                </c:pt>
                <c:pt idx="11">
                  <c:v>2.2850322337010764</c:v>
                </c:pt>
                <c:pt idx="12">
                  <c:v>4.8086931337165266</c:v>
                </c:pt>
                <c:pt idx="13">
                  <c:v>1.3623546986601933</c:v>
                </c:pt>
                <c:pt idx="14">
                  <c:v>0</c:v>
                </c:pt>
                <c:pt idx="15">
                  <c:v>0.11502247500955301</c:v>
                </c:pt>
                <c:pt idx="16">
                  <c:v>8.4666578205272153E-2</c:v>
                </c:pt>
                <c:pt idx="17">
                  <c:v>2.0175913649181125</c:v>
                </c:pt>
                <c:pt idx="18">
                  <c:v>0.77980352772890615</c:v>
                </c:pt>
                <c:pt idx="19">
                  <c:v>0.17897016723333337</c:v>
                </c:pt>
                <c:pt idx="20">
                  <c:v>1.0703433165258176</c:v>
                </c:pt>
                <c:pt idx="21">
                  <c:v>2.1128375853047436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97-4897-90F9-99E8C7188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1036467512"/>
        <c:axId val="1033743616"/>
      </c:barChart>
      <c:catAx>
        <c:axId val="1036467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3743616"/>
        <c:crosses val="autoZero"/>
        <c:auto val="1"/>
        <c:lblAlgn val="ctr"/>
        <c:lblOffset val="100"/>
        <c:noMultiLvlLbl val="0"/>
      </c:catAx>
      <c:valAx>
        <c:axId val="1033743616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6467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1200" b="1" i="1">
                <a:latin typeface="Arial Narrow" panose="020B0606020202030204" pitchFamily="34" charset="0"/>
              </a:rPr>
              <a:t>OCER based on Stage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charts!$B$97</c:f>
              <c:strCache>
                <c:ptCount val="1"/>
                <c:pt idx="0">
                  <c:v>OCER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A9-4C42-BD8C-4C7807FDC9AB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1A9-4C42-BD8C-4C7807FDC9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charts!$B$98:$B$119</c:f>
              <c:strCache>
                <c:ptCount val="22"/>
                <c:pt idx="0">
                  <c:v>BTB</c:v>
                </c:pt>
                <c:pt idx="1">
                  <c:v>BoA</c:v>
                </c:pt>
                <c:pt idx="2">
                  <c:v>Kompanion</c:v>
                </c:pt>
                <c:pt idx="3">
                  <c:v>FINCA</c:v>
                </c:pt>
                <c:pt idx="4">
                  <c:v>KICB</c:v>
                </c:pt>
                <c:pt idx="5">
                  <c:v>DKIB</c:v>
                </c:pt>
                <c:pt idx="6">
                  <c:v>Optima</c:v>
                </c:pt>
                <c:pt idx="7">
                  <c:v>Armeconom</c:v>
                </c:pt>
                <c:pt idx="8">
                  <c:v>ArmSwiss</c:v>
                </c:pt>
                <c:pt idx="9">
                  <c:v>Ararat</c:v>
                </c:pt>
                <c:pt idx="10">
                  <c:v>Ameria</c:v>
                </c:pt>
                <c:pt idx="11">
                  <c:v>ACBA</c:v>
                </c:pt>
                <c:pt idx="12">
                  <c:v>Ineco</c:v>
                </c:pt>
                <c:pt idx="13">
                  <c:v>ArdShin</c:v>
                </c:pt>
                <c:pt idx="14">
                  <c:v>KMF</c:v>
                </c:pt>
                <c:pt idx="15">
                  <c:v>Shinhan</c:v>
                </c:pt>
                <c:pt idx="16">
                  <c:v>Forte</c:v>
                </c:pt>
                <c:pt idx="17">
                  <c:v>Kassa Nova</c:v>
                </c:pt>
                <c:pt idx="18">
                  <c:v>BCC</c:v>
                </c:pt>
                <c:pt idx="19">
                  <c:v>BSPB</c:v>
                </c:pt>
                <c:pt idx="20">
                  <c:v>CBM</c:v>
                </c:pt>
                <c:pt idx="21">
                  <c:v>CIB</c:v>
                </c:pt>
              </c:strCache>
            </c:strRef>
          </c:cat>
          <c:val>
            <c:numRef>
              <c:f>charts!$C$98:$C$119</c:f>
              <c:numCache>
                <c:formatCode>0.0%</c:formatCode>
                <c:ptCount val="22"/>
                <c:pt idx="0">
                  <c:v>2.9239100901688766E-2</c:v>
                </c:pt>
                <c:pt idx="1">
                  <c:v>1.1786928924516467E-2</c:v>
                </c:pt>
                <c:pt idx="2">
                  <c:v>1.9824363658884004E-2</c:v>
                </c:pt>
                <c:pt idx="3">
                  <c:v>2.1232455656104279E-2</c:v>
                </c:pt>
                <c:pt idx="4">
                  <c:v>3.4170508497901327E-2</c:v>
                </c:pt>
                <c:pt idx="5">
                  <c:v>6.8506663298120232E-2</c:v>
                </c:pt>
                <c:pt idx="6">
                  <c:v>0.28014811227128328</c:v>
                </c:pt>
                <c:pt idx="7">
                  <c:v>6.4257387363210782E-3</c:v>
                </c:pt>
                <c:pt idx="8">
                  <c:v>4.2948508472993793E-3</c:v>
                </c:pt>
                <c:pt idx="9">
                  <c:v>2.6596175113964341E-2</c:v>
                </c:pt>
                <c:pt idx="10">
                  <c:v>0.211146014347458</c:v>
                </c:pt>
                <c:pt idx="11">
                  <c:v>0.17398942786069652</c:v>
                </c:pt>
                <c:pt idx="12">
                  <c:v>0.20038680978628759</c:v>
                </c:pt>
                <c:pt idx="13">
                  <c:v>0.25000351029921791</c:v>
                </c:pt>
                <c:pt idx="14">
                  <c:v>2.3359071431736485E-2</c:v>
                </c:pt>
                <c:pt idx="15">
                  <c:v>6.6046712054166776E-2</c:v>
                </c:pt>
                <c:pt idx="16">
                  <c:v>0.62037290855715987</c:v>
                </c:pt>
                <c:pt idx="17">
                  <c:v>0.77929664977649349</c:v>
                </c:pt>
                <c:pt idx="18">
                  <c:v>1.6972305738669256</c:v>
                </c:pt>
                <c:pt idx="19">
                  <c:v>0.1638739463413896</c:v>
                </c:pt>
                <c:pt idx="20">
                  <c:v>0.19396187760413061</c:v>
                </c:pt>
                <c:pt idx="21">
                  <c:v>0.31602032839703326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4F-4A0E-B2E7-E7A394319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1036467512"/>
        <c:axId val="1033743616"/>
      </c:barChart>
      <c:catAx>
        <c:axId val="1036467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3743616"/>
        <c:crosses val="autoZero"/>
        <c:auto val="1"/>
        <c:lblAlgn val="ctr"/>
        <c:lblOffset val="100"/>
        <c:noMultiLvlLbl val="0"/>
      </c:catAx>
      <c:valAx>
        <c:axId val="1033743616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6467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1200" b="1" i="1">
                <a:latin typeface="Arial Narrow" panose="020B0606020202030204" pitchFamily="34" charset="0"/>
              </a:rPr>
              <a:t>Loans to deposits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charts!$C$161</c:f>
              <c:strCache>
                <c:ptCount val="1"/>
                <c:pt idx="0">
                  <c:v>Local CAR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423-42D6-8241-2987F9AF1698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423-42D6-8241-2987F9AF1698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423-42D6-8241-2987F9AF1698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423-42D6-8241-2987F9AF16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charts!$B$196:$B$217</c:f>
              <c:strCache>
                <c:ptCount val="22"/>
                <c:pt idx="0">
                  <c:v>DKIB</c:v>
                </c:pt>
                <c:pt idx="1">
                  <c:v>KICB</c:v>
                </c:pt>
                <c:pt idx="2">
                  <c:v>BoA</c:v>
                </c:pt>
                <c:pt idx="3">
                  <c:v>BTB</c:v>
                </c:pt>
                <c:pt idx="4">
                  <c:v>Optima</c:v>
                </c:pt>
                <c:pt idx="5">
                  <c:v>FINCA</c:v>
                </c:pt>
                <c:pt idx="6">
                  <c:v>Kompanion</c:v>
                </c:pt>
                <c:pt idx="7">
                  <c:v>ArmSwiss</c:v>
                </c:pt>
                <c:pt idx="8">
                  <c:v>ACBA</c:v>
                </c:pt>
                <c:pt idx="9">
                  <c:v>Ineco</c:v>
                </c:pt>
                <c:pt idx="10">
                  <c:v>ArdShin</c:v>
                </c:pt>
                <c:pt idx="11">
                  <c:v>Ameria</c:v>
                </c:pt>
                <c:pt idx="12">
                  <c:v>Armeconom</c:v>
                </c:pt>
                <c:pt idx="13">
                  <c:v>Ararat</c:v>
                </c:pt>
                <c:pt idx="14">
                  <c:v>Shinhan</c:v>
                </c:pt>
                <c:pt idx="15">
                  <c:v>Forte</c:v>
                </c:pt>
                <c:pt idx="16">
                  <c:v>Kassa Nova</c:v>
                </c:pt>
                <c:pt idx="17">
                  <c:v>BCC</c:v>
                </c:pt>
                <c:pt idx="18">
                  <c:v>KMF</c:v>
                </c:pt>
                <c:pt idx="19">
                  <c:v>CBM</c:v>
                </c:pt>
                <c:pt idx="20">
                  <c:v>BSPB</c:v>
                </c:pt>
                <c:pt idx="21">
                  <c:v>CIB</c:v>
                </c:pt>
              </c:strCache>
            </c:strRef>
          </c:cat>
          <c:val>
            <c:numRef>
              <c:f>charts!$C$196:$C$217</c:f>
              <c:numCache>
                <c:formatCode>0.0%</c:formatCode>
                <c:ptCount val="22"/>
                <c:pt idx="0">
                  <c:v>0.48591097561070395</c:v>
                </c:pt>
                <c:pt idx="1">
                  <c:v>0.63532275140248884</c:v>
                </c:pt>
                <c:pt idx="2">
                  <c:v>1.0030825782619266</c:v>
                </c:pt>
                <c:pt idx="3">
                  <c:v>1.4420983764278898</c:v>
                </c:pt>
                <c:pt idx="4">
                  <c:v>1.5193001061347164</c:v>
                </c:pt>
                <c:pt idx="5">
                  <c:v>1.8347231522529917</c:v>
                </c:pt>
                <c:pt idx="6">
                  <c:v>2.7708282877720913</c:v>
                </c:pt>
                <c:pt idx="7">
                  <c:v>0.79727355024229196</c:v>
                </c:pt>
                <c:pt idx="8">
                  <c:v>1.1355523918582939</c:v>
                </c:pt>
                <c:pt idx="9">
                  <c:v>1.2588302570903649</c:v>
                </c:pt>
                <c:pt idx="10">
                  <c:v>1.2596804854268455</c:v>
                </c:pt>
                <c:pt idx="11">
                  <c:v>1.3729947931022386</c:v>
                </c:pt>
                <c:pt idx="12">
                  <c:v>1.3921171782085255</c:v>
                </c:pt>
                <c:pt idx="13">
                  <c:v>1.5619172192291753</c:v>
                </c:pt>
                <c:pt idx="14">
                  <c:v>0.4989888732130463</c:v>
                </c:pt>
                <c:pt idx="15">
                  <c:v>0.64115567835720155</c:v>
                </c:pt>
                <c:pt idx="16">
                  <c:v>0.74209506877916831</c:v>
                </c:pt>
                <c:pt idx="17">
                  <c:v>0.90038528472913737</c:v>
                </c:pt>
                <c:pt idx="18" formatCode="#,##0_);\(#,##0\);&quot;-  &quot;;&quot; &quot;@&quot; &quot;">
                  <c:v>0</c:v>
                </c:pt>
                <c:pt idx="19">
                  <c:v>0.55734863521135058</c:v>
                </c:pt>
                <c:pt idx="20">
                  <c:v>0.83282420390335554</c:v>
                </c:pt>
                <c:pt idx="21">
                  <c:v>0.92423730597489717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3-449C-8C80-F4CC93890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36467512"/>
        <c:axId val="1033743616"/>
      </c:barChart>
      <c:catAx>
        <c:axId val="1036467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3743616"/>
        <c:crosses val="autoZero"/>
        <c:auto val="1"/>
        <c:lblAlgn val="ctr"/>
        <c:lblOffset val="100"/>
        <c:noMultiLvlLbl val="0"/>
      </c:catAx>
      <c:valAx>
        <c:axId val="1033743616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36467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577849</xdr:colOff>
      <xdr:row>159</xdr:row>
      <xdr:rowOff>155575</xdr:rowOff>
    </xdr:from>
    <xdr:to>
      <xdr:col>16</xdr:col>
      <xdr:colOff>304799</xdr:colOff>
      <xdr:row>189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581025</xdr:colOff>
      <xdr:row>37</xdr:row>
      <xdr:rowOff>0</xdr:rowOff>
    </xdr:from>
    <xdr:to>
      <xdr:col>16</xdr:col>
      <xdr:colOff>288925</xdr:colOff>
      <xdr:row>66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16</xdr:col>
      <xdr:colOff>307975</xdr:colOff>
      <xdr:row>32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70</xdr:row>
      <xdr:rowOff>0</xdr:rowOff>
    </xdr:from>
    <xdr:to>
      <xdr:col>16</xdr:col>
      <xdr:colOff>307975</xdr:colOff>
      <xdr:row>99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160</xdr:row>
      <xdr:rowOff>0</xdr:rowOff>
    </xdr:from>
    <xdr:to>
      <xdr:col>24</xdr:col>
      <xdr:colOff>310964</xdr:colOff>
      <xdr:row>189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125</xdr:row>
      <xdr:rowOff>0</xdr:rowOff>
    </xdr:from>
    <xdr:to>
      <xdr:col>16</xdr:col>
      <xdr:colOff>307975</xdr:colOff>
      <xdr:row>154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125</xdr:row>
      <xdr:rowOff>0</xdr:rowOff>
    </xdr:from>
    <xdr:to>
      <xdr:col>25</xdr:col>
      <xdr:colOff>307975</xdr:colOff>
      <xdr:row>154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70</xdr:row>
      <xdr:rowOff>0</xdr:rowOff>
    </xdr:from>
    <xdr:to>
      <xdr:col>25</xdr:col>
      <xdr:colOff>307975</xdr:colOff>
      <xdr:row>99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194</xdr:row>
      <xdr:rowOff>0</xdr:rowOff>
    </xdr:from>
    <xdr:to>
      <xdr:col>16</xdr:col>
      <xdr:colOff>312057</xdr:colOff>
      <xdr:row>223</xdr:row>
      <xdr:rowOff>7711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228</xdr:row>
      <xdr:rowOff>0</xdr:rowOff>
    </xdr:from>
    <xdr:to>
      <xdr:col>16</xdr:col>
      <xdr:colOff>312057</xdr:colOff>
      <xdr:row>257</xdr:row>
      <xdr:rowOff>7710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B21" sqref="B21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R257"/>
  <sheetViews>
    <sheetView tabSelected="1" zoomScale="70" zoomScaleNormal="70" workbookViewId="0">
      <selection activeCell="S19" sqref="S19"/>
    </sheetView>
  </sheetViews>
  <sheetFormatPr defaultColWidth="8.7109375" defaultRowHeight="12.75" x14ac:dyDescent="0.25"/>
  <cols>
    <col min="1" max="1" width="8.7109375" style="1"/>
    <col min="2" max="2" width="12.140625" style="1" customWidth="1"/>
    <col min="3" max="16384" width="8.7109375" style="1"/>
  </cols>
  <sheetData>
    <row r="2" spans="1:9" ht="15.75" x14ac:dyDescent="0.25">
      <c r="A2" s="92" t="s">
        <v>110</v>
      </c>
    </row>
    <row r="4" spans="1:9" x14ac:dyDescent="0.25">
      <c r="C4" s="26" t="s">
        <v>71</v>
      </c>
      <c r="E4" s="26" t="s">
        <v>104</v>
      </c>
      <c r="I4" s="15"/>
    </row>
    <row r="5" spans="1:9" x14ac:dyDescent="0.25">
      <c r="A5" s="1">
        <v>1</v>
      </c>
      <c r="B5" s="1" t="s">
        <v>14</v>
      </c>
      <c r="C5" s="14">
        <f>data!W5</f>
        <v>-5.5381575198766297E-3</v>
      </c>
      <c r="E5" s="26" t="s">
        <v>120</v>
      </c>
      <c r="I5" s="15"/>
    </row>
    <row r="6" spans="1:9" x14ac:dyDescent="0.25">
      <c r="A6" s="1">
        <v>2</v>
      </c>
      <c r="B6" s="1" t="s">
        <v>40</v>
      </c>
      <c r="C6" s="14">
        <f>data!AI5</f>
        <v>3.9186032737953846E-2</v>
      </c>
      <c r="E6" s="26" t="s">
        <v>119</v>
      </c>
      <c r="I6" s="15"/>
    </row>
    <row r="7" spans="1:9" x14ac:dyDescent="0.25">
      <c r="A7" s="1">
        <v>3</v>
      </c>
      <c r="B7" s="1" t="s">
        <v>50</v>
      </c>
      <c r="C7" s="14">
        <f>data!AF5</f>
        <v>8.8798649190578782E-2</v>
      </c>
      <c r="I7" s="15"/>
    </row>
    <row r="8" spans="1:9" x14ac:dyDescent="0.25">
      <c r="A8" s="1">
        <v>4</v>
      </c>
      <c r="B8" s="78" t="s">
        <v>15</v>
      </c>
      <c r="C8" s="79">
        <f>data!Z5</f>
        <v>0.11399360211024323</v>
      </c>
      <c r="I8" s="15"/>
    </row>
    <row r="9" spans="1:9" x14ac:dyDescent="0.25">
      <c r="A9" s="1">
        <v>5</v>
      </c>
      <c r="B9" s="1" t="s">
        <v>13</v>
      </c>
      <c r="C9" s="14">
        <f>data!T5</f>
        <v>0.19276071904551051</v>
      </c>
      <c r="I9" s="15"/>
    </row>
    <row r="10" spans="1:9" x14ac:dyDescent="0.25">
      <c r="A10" s="1">
        <v>6</v>
      </c>
      <c r="B10" s="1" t="s">
        <v>41</v>
      </c>
      <c r="C10" s="14">
        <f>data!AC5</f>
        <v>0.26826012857862391</v>
      </c>
      <c r="I10" s="15"/>
    </row>
    <row r="11" spans="1:9" x14ac:dyDescent="0.25">
      <c r="A11" s="1">
        <v>7</v>
      </c>
      <c r="B11" s="16" t="s">
        <v>39</v>
      </c>
      <c r="C11" s="40">
        <f>data!AL5</f>
        <v>0.32881448140847747</v>
      </c>
      <c r="I11" s="15"/>
    </row>
    <row r="12" spans="1:9" x14ac:dyDescent="0.25">
      <c r="A12" s="1">
        <v>8</v>
      </c>
      <c r="B12" s="1" t="s">
        <v>94</v>
      </c>
      <c r="C12" s="14">
        <f>data!BU5</f>
        <v>4.9338962389807506E-2</v>
      </c>
      <c r="I12" s="15"/>
    </row>
    <row r="13" spans="1:9" x14ac:dyDescent="0.25">
      <c r="A13" s="1">
        <v>9</v>
      </c>
      <c r="B13" s="20" t="s">
        <v>93</v>
      </c>
      <c r="C13" s="55">
        <f>data!BO5</f>
        <v>5.5535160270945294E-2</v>
      </c>
      <c r="I13" s="15"/>
    </row>
    <row r="14" spans="1:9" x14ac:dyDescent="0.25">
      <c r="A14" s="1">
        <v>10</v>
      </c>
      <c r="B14" s="1" t="s">
        <v>92</v>
      </c>
      <c r="C14" s="14">
        <f>data!BL5</f>
        <v>0.1262539358872512</v>
      </c>
      <c r="I14" s="15"/>
    </row>
    <row r="15" spans="1:9" x14ac:dyDescent="0.25">
      <c r="A15" s="1">
        <v>11</v>
      </c>
      <c r="B15" s="78" t="s">
        <v>90</v>
      </c>
      <c r="C15" s="79">
        <f>data!BF5</f>
        <v>0.1505617347525976</v>
      </c>
      <c r="I15" s="15"/>
    </row>
    <row r="16" spans="1:9" x14ac:dyDescent="0.25">
      <c r="A16" s="1">
        <v>12</v>
      </c>
      <c r="B16" s="1" t="s">
        <v>95</v>
      </c>
      <c r="C16" s="14">
        <f>data!BX5</f>
        <v>0.16506553880180075</v>
      </c>
      <c r="I16" s="15"/>
    </row>
    <row r="17" spans="1:9" x14ac:dyDescent="0.25">
      <c r="A17" s="1">
        <v>13</v>
      </c>
      <c r="B17" s="1" t="s">
        <v>91</v>
      </c>
      <c r="C17" s="14">
        <f>data!BI5</f>
        <v>0.19441383656212263</v>
      </c>
      <c r="I17" s="15"/>
    </row>
    <row r="18" spans="1:9" x14ac:dyDescent="0.25">
      <c r="A18" s="1">
        <v>14</v>
      </c>
      <c r="B18" s="16" t="s">
        <v>96</v>
      </c>
      <c r="C18" s="40">
        <f>data!CA5</f>
        <v>0.42244008445591374</v>
      </c>
      <c r="I18" s="15"/>
    </row>
    <row r="19" spans="1:9" x14ac:dyDescent="0.25">
      <c r="A19" s="1">
        <v>15</v>
      </c>
      <c r="B19" s="1" t="s">
        <v>103</v>
      </c>
      <c r="C19" s="14">
        <f>data!K5</f>
        <v>0.1322959309223426</v>
      </c>
      <c r="I19" s="15"/>
    </row>
    <row r="20" spans="1:9" x14ac:dyDescent="0.25">
      <c r="A20" s="1">
        <v>16</v>
      </c>
      <c r="B20" s="1" t="s">
        <v>102</v>
      </c>
      <c r="C20" s="55">
        <f>data!H5</f>
        <v>0.14074579593505598</v>
      </c>
      <c r="I20" s="15"/>
    </row>
    <row r="21" spans="1:9" x14ac:dyDescent="0.25">
      <c r="A21" s="1">
        <v>17</v>
      </c>
      <c r="B21" s="78" t="s">
        <v>101</v>
      </c>
      <c r="C21" s="79">
        <f>data!E5</f>
        <v>0.16895766419315539</v>
      </c>
      <c r="I21" s="15"/>
    </row>
    <row r="22" spans="1:9" x14ac:dyDescent="0.25">
      <c r="A22" s="1">
        <v>18</v>
      </c>
      <c r="B22" s="1" t="s">
        <v>125</v>
      </c>
      <c r="C22" s="55">
        <f>data!Q5</f>
        <v>0.33478895677762344</v>
      </c>
      <c r="I22" s="15"/>
    </row>
    <row r="23" spans="1:9" x14ac:dyDescent="0.25">
      <c r="A23" s="1">
        <v>19</v>
      </c>
      <c r="B23" s="1" t="s">
        <v>124</v>
      </c>
      <c r="C23" s="55">
        <f>data!N5</f>
        <v>0.40488396819263817</v>
      </c>
      <c r="I23" s="15"/>
    </row>
    <row r="24" spans="1:9" x14ac:dyDescent="0.25">
      <c r="A24" s="1">
        <v>20</v>
      </c>
      <c r="B24" s="74" t="s">
        <v>20</v>
      </c>
      <c r="C24" s="44">
        <f>data!AY5</f>
        <v>9.3060578112475589E-2</v>
      </c>
      <c r="I24" s="15"/>
    </row>
    <row r="25" spans="1:9" x14ac:dyDescent="0.25">
      <c r="A25" s="1">
        <v>21</v>
      </c>
      <c r="B25" s="86" t="s">
        <v>28</v>
      </c>
      <c r="C25" s="81">
        <f>data!AV5</f>
        <v>0.10965327583282858</v>
      </c>
      <c r="I25" s="15"/>
    </row>
    <row r="26" spans="1:9" x14ac:dyDescent="0.25">
      <c r="A26" s="1">
        <v>22</v>
      </c>
      <c r="B26" s="20" t="s">
        <v>31</v>
      </c>
      <c r="C26" s="55">
        <f>data!AS5</f>
        <v>0.13649890291819</v>
      </c>
      <c r="I26" s="15"/>
    </row>
    <row r="27" spans="1:9" x14ac:dyDescent="0.25">
      <c r="I27" s="15"/>
    </row>
    <row r="28" spans="1:9" x14ac:dyDescent="0.25">
      <c r="I28" s="15"/>
    </row>
    <row r="29" spans="1:9" x14ac:dyDescent="0.25">
      <c r="I29" s="15"/>
    </row>
    <row r="30" spans="1:9" x14ac:dyDescent="0.25">
      <c r="I30" s="15"/>
    </row>
    <row r="31" spans="1:9" x14ac:dyDescent="0.25">
      <c r="I31" s="15"/>
    </row>
    <row r="32" spans="1:9" x14ac:dyDescent="0.25">
      <c r="I32" s="15"/>
    </row>
    <row r="35" spans="1:9" ht="15.75" x14ac:dyDescent="0.25">
      <c r="A35" s="92" t="s">
        <v>111</v>
      </c>
      <c r="B35" s="92"/>
    </row>
    <row r="37" spans="1:9" x14ac:dyDescent="0.25">
      <c r="E37" s="14"/>
      <c r="F37" s="14"/>
    </row>
    <row r="38" spans="1:9" x14ac:dyDescent="0.25">
      <c r="C38" s="26" t="s">
        <v>55</v>
      </c>
      <c r="E38" s="26" t="s">
        <v>105</v>
      </c>
      <c r="I38" s="15"/>
    </row>
    <row r="39" spans="1:9" x14ac:dyDescent="0.25">
      <c r="A39" s="1">
        <v>1</v>
      </c>
      <c r="B39" s="1" t="s">
        <v>40</v>
      </c>
      <c r="C39" s="14">
        <f>data!AH85</f>
        <v>4.1102175807470692E-2</v>
      </c>
      <c r="E39" s="26" t="s">
        <v>118</v>
      </c>
      <c r="I39" s="15"/>
    </row>
    <row r="40" spans="1:9" x14ac:dyDescent="0.25">
      <c r="A40" s="1">
        <v>2</v>
      </c>
      <c r="B40" s="1" t="s">
        <v>39</v>
      </c>
      <c r="C40" s="14">
        <f>data!AK85</f>
        <v>7.4667672761964274E-2</v>
      </c>
      <c r="I40" s="15"/>
    </row>
    <row r="41" spans="1:9" x14ac:dyDescent="0.25">
      <c r="A41" s="1">
        <v>3</v>
      </c>
      <c r="B41" s="1" t="s">
        <v>14</v>
      </c>
      <c r="C41" s="14">
        <f>data!V85</f>
        <v>9.3509807511656412E-2</v>
      </c>
      <c r="I41" s="15"/>
    </row>
    <row r="42" spans="1:9" x14ac:dyDescent="0.25">
      <c r="A42" s="1">
        <v>4</v>
      </c>
      <c r="B42" s="78" t="s">
        <v>13</v>
      </c>
      <c r="C42" s="79">
        <f>data!S85</f>
        <v>0.18626112858178745</v>
      </c>
      <c r="I42" s="15"/>
    </row>
    <row r="43" spans="1:9" x14ac:dyDescent="0.25">
      <c r="A43" s="1">
        <v>5</v>
      </c>
      <c r="B43" s="1" t="s">
        <v>41</v>
      </c>
      <c r="C43" s="14">
        <f>data!AB85</f>
        <v>0.19682528446991807</v>
      </c>
      <c r="I43" s="15"/>
    </row>
    <row r="44" spans="1:9" x14ac:dyDescent="0.25">
      <c r="A44" s="1">
        <v>6</v>
      </c>
      <c r="B44" s="1" t="s">
        <v>50</v>
      </c>
      <c r="C44" s="14">
        <f>data!AE85</f>
        <v>0.22237622580823727</v>
      </c>
      <c r="I44" s="15"/>
    </row>
    <row r="45" spans="1:9" x14ac:dyDescent="0.25">
      <c r="A45" s="1">
        <v>7</v>
      </c>
      <c r="B45" s="16" t="s">
        <v>15</v>
      </c>
      <c r="C45" s="40">
        <f>data!Y85</f>
        <v>0.2286881461661317</v>
      </c>
      <c r="I45" s="15"/>
    </row>
    <row r="46" spans="1:9" x14ac:dyDescent="0.25">
      <c r="A46" s="1">
        <v>8</v>
      </c>
      <c r="B46" s="1" t="s">
        <v>94</v>
      </c>
      <c r="C46" s="14">
        <f>data!BT85</f>
        <v>1.4232707537243174E-2</v>
      </c>
      <c r="I46" s="15"/>
    </row>
    <row r="47" spans="1:9" x14ac:dyDescent="0.25">
      <c r="A47" s="1">
        <v>9</v>
      </c>
      <c r="B47" s="1" t="s">
        <v>95</v>
      </c>
      <c r="C47" s="14">
        <f>data!BW85</f>
        <v>6.4955407090112841E-2</v>
      </c>
      <c r="I47" s="15"/>
    </row>
    <row r="48" spans="1:9" x14ac:dyDescent="0.25">
      <c r="A48" s="1">
        <v>10</v>
      </c>
      <c r="B48" s="1" t="s">
        <v>91</v>
      </c>
      <c r="C48" s="14">
        <f>data!BH85</f>
        <v>9.4004677716925486E-2</v>
      </c>
      <c r="I48" s="15"/>
    </row>
    <row r="49" spans="1:9" x14ac:dyDescent="0.25">
      <c r="A49" s="1">
        <v>11</v>
      </c>
      <c r="B49" s="78" t="s">
        <v>92</v>
      </c>
      <c r="C49" s="79">
        <f>data!BK85</f>
        <v>0.10025356271665169</v>
      </c>
      <c r="I49" s="15"/>
    </row>
    <row r="50" spans="1:9" x14ac:dyDescent="0.25">
      <c r="A50" s="1">
        <v>12</v>
      </c>
      <c r="B50" s="1" t="s">
        <v>96</v>
      </c>
      <c r="C50" s="14">
        <f>data!BZ85</f>
        <v>0.12665079563964415</v>
      </c>
      <c r="I50" s="15"/>
    </row>
    <row r="51" spans="1:9" x14ac:dyDescent="0.25">
      <c r="A51" s="1">
        <v>13</v>
      </c>
      <c r="B51" s="1" t="s">
        <v>90</v>
      </c>
      <c r="C51" s="14">
        <f>data!BE85</f>
        <v>0.13154301890101081</v>
      </c>
      <c r="I51" s="15"/>
    </row>
    <row r="52" spans="1:9" x14ac:dyDescent="0.25">
      <c r="A52" s="1">
        <v>14</v>
      </c>
      <c r="B52" s="16" t="s">
        <v>93</v>
      </c>
      <c r="C52" s="40">
        <f>data!BN85</f>
        <v>0.16016328490815224</v>
      </c>
      <c r="I52" s="15"/>
    </row>
    <row r="53" spans="1:9" x14ac:dyDescent="0.25">
      <c r="A53" s="1">
        <v>15</v>
      </c>
      <c r="B53" s="1" t="s">
        <v>124</v>
      </c>
      <c r="C53" s="14">
        <f>data!M85</f>
        <v>6.2807293547537016E-2</v>
      </c>
      <c r="I53" s="15"/>
    </row>
    <row r="54" spans="1:9" x14ac:dyDescent="0.25">
      <c r="A54" s="1">
        <v>16</v>
      </c>
      <c r="B54" s="20" t="s">
        <v>102</v>
      </c>
      <c r="C54" s="55">
        <f>data!G85</f>
        <v>7.7709646115577097E-2</v>
      </c>
      <c r="I54" s="15"/>
    </row>
    <row r="55" spans="1:9" x14ac:dyDescent="0.25">
      <c r="A55" s="1">
        <v>17</v>
      </c>
      <c r="B55" s="86" t="s">
        <v>103</v>
      </c>
      <c r="C55" s="81">
        <f>data!J85</f>
        <v>0.10156941932618897</v>
      </c>
      <c r="I55" s="15"/>
    </row>
    <row r="56" spans="1:9" x14ac:dyDescent="0.25">
      <c r="A56" s="1">
        <v>18</v>
      </c>
      <c r="B56" s="20" t="s">
        <v>101</v>
      </c>
      <c r="C56" s="55">
        <f>data!D85</f>
        <v>0.14744200182352346</v>
      </c>
      <c r="I56" s="15"/>
    </row>
    <row r="57" spans="1:9" x14ac:dyDescent="0.25">
      <c r="A57" s="1">
        <v>19</v>
      </c>
      <c r="B57" s="16" t="s">
        <v>125</v>
      </c>
      <c r="C57" s="40">
        <f>data!P85</f>
        <v>0.40885832922865162</v>
      </c>
      <c r="I57" s="15"/>
    </row>
    <row r="58" spans="1:9" x14ac:dyDescent="0.25">
      <c r="A58" s="1">
        <v>20</v>
      </c>
      <c r="B58" s="1" t="s">
        <v>20</v>
      </c>
      <c r="C58" s="14">
        <f>data!AX85</f>
        <v>0.11895080154326854</v>
      </c>
      <c r="I58" s="15"/>
    </row>
    <row r="59" spans="1:9" x14ac:dyDescent="0.25">
      <c r="A59" s="1">
        <v>21</v>
      </c>
      <c r="B59" s="59" t="s">
        <v>28</v>
      </c>
      <c r="C59" s="58">
        <f>data!AU85</f>
        <v>0.1234537994734088</v>
      </c>
      <c r="I59" s="15"/>
    </row>
    <row r="60" spans="1:9" x14ac:dyDescent="0.25">
      <c r="A60" s="1">
        <v>22</v>
      </c>
      <c r="B60" s="1" t="s">
        <v>31</v>
      </c>
      <c r="C60" s="14">
        <f>data!AR85</f>
        <v>0.19324864862946362</v>
      </c>
      <c r="I60" s="15"/>
    </row>
    <row r="61" spans="1:9" x14ac:dyDescent="0.25">
      <c r="I61" s="15"/>
    </row>
    <row r="62" spans="1:9" x14ac:dyDescent="0.25">
      <c r="I62" s="15"/>
    </row>
    <row r="63" spans="1:9" x14ac:dyDescent="0.25">
      <c r="I63" s="15"/>
    </row>
    <row r="64" spans="1:9" x14ac:dyDescent="0.25">
      <c r="I64" s="15"/>
    </row>
    <row r="65" spans="1:9" x14ac:dyDescent="0.25">
      <c r="I65" s="15"/>
    </row>
    <row r="66" spans="1:9" x14ac:dyDescent="0.25">
      <c r="I66" s="15"/>
    </row>
    <row r="69" spans="1:9" ht="15.75" x14ac:dyDescent="0.25">
      <c r="A69" s="92" t="s">
        <v>113</v>
      </c>
    </row>
    <row r="71" spans="1:9" x14ac:dyDescent="0.25">
      <c r="C71" s="26" t="s">
        <v>61</v>
      </c>
      <c r="D71" s="26" t="s">
        <v>62</v>
      </c>
      <c r="E71" s="26" t="s">
        <v>72</v>
      </c>
      <c r="F71" s="26"/>
      <c r="H71" s="26"/>
      <c r="I71" s="15"/>
    </row>
    <row r="72" spans="1:9" x14ac:dyDescent="0.25">
      <c r="A72" s="1">
        <v>1</v>
      </c>
      <c r="B72" s="1" t="s">
        <v>39</v>
      </c>
      <c r="C72" s="14">
        <f>data!AK57</f>
        <v>8.9268849924761307E-4</v>
      </c>
      <c r="D72" s="14">
        <f>data!AK56</f>
        <v>1.2381316649926902E-2</v>
      </c>
      <c r="E72" s="14">
        <f t="shared" ref="E72:E85" si="0">D72+C72</f>
        <v>1.3274005149174515E-2</v>
      </c>
      <c r="F72" s="14"/>
      <c r="H72" s="14"/>
      <c r="I72" s="15"/>
    </row>
    <row r="73" spans="1:9" x14ac:dyDescent="0.25">
      <c r="A73" s="1">
        <v>2</v>
      </c>
      <c r="B73" s="1" t="s">
        <v>50</v>
      </c>
      <c r="C73" s="14">
        <f>data!AE57</f>
        <v>3.3414763512124267E-2</v>
      </c>
      <c r="D73" s="14">
        <f>data!AE56</f>
        <v>1.913520968998219E-2</v>
      </c>
      <c r="E73" s="14">
        <f t="shared" si="0"/>
        <v>5.2549973202106456E-2</v>
      </c>
      <c r="F73" s="14"/>
      <c r="H73" s="14"/>
      <c r="I73" s="15"/>
    </row>
    <row r="74" spans="1:9" x14ac:dyDescent="0.25">
      <c r="A74" s="1">
        <v>3</v>
      </c>
      <c r="B74" s="1" t="s">
        <v>41</v>
      </c>
      <c r="C74" s="14">
        <f>data!AB57</f>
        <v>2.2076987645613072E-3</v>
      </c>
      <c r="D74" s="14">
        <f>data!AB56</f>
        <v>1.9228901319861293E-2</v>
      </c>
      <c r="E74" s="14">
        <f t="shared" si="0"/>
        <v>2.1436600084422601E-2</v>
      </c>
      <c r="F74" s="26"/>
      <c r="H74" s="14"/>
      <c r="I74" s="15"/>
    </row>
    <row r="75" spans="1:9" x14ac:dyDescent="0.25">
      <c r="A75" s="1">
        <v>4</v>
      </c>
      <c r="B75" s="59" t="s">
        <v>15</v>
      </c>
      <c r="C75" s="58">
        <f>data!Y57</f>
        <v>1.1029433118176447E-3</v>
      </c>
      <c r="D75" s="58">
        <f>data!Y56</f>
        <v>3.4901116574588428E-2</v>
      </c>
      <c r="E75" s="58">
        <f t="shared" si="0"/>
        <v>3.6004059886406072E-2</v>
      </c>
      <c r="F75" s="26"/>
      <c r="H75" s="14"/>
      <c r="I75" s="15"/>
    </row>
    <row r="76" spans="1:9" x14ac:dyDescent="0.25">
      <c r="A76" s="1">
        <v>5</v>
      </c>
      <c r="B76" s="1" t="s">
        <v>40</v>
      </c>
      <c r="C76" s="14">
        <f>data!AH57</f>
        <v>1.2945604872893417E-2</v>
      </c>
      <c r="D76" s="14">
        <f>data!AH56</f>
        <v>4.1162524802513208E-2</v>
      </c>
      <c r="E76" s="14">
        <f t="shared" si="0"/>
        <v>5.4108129675406624E-2</v>
      </c>
      <c r="F76" s="26"/>
      <c r="H76" s="14"/>
      <c r="I76" s="15"/>
    </row>
    <row r="77" spans="1:9" x14ac:dyDescent="0.25">
      <c r="A77" s="1">
        <v>6</v>
      </c>
      <c r="B77" s="1" t="s">
        <v>14</v>
      </c>
      <c r="C77" s="14">
        <f>data!V57</f>
        <v>7.2863514888944804E-3</v>
      </c>
      <c r="D77" s="14">
        <f>data!V56</f>
        <v>4.9782805888749289E-2</v>
      </c>
      <c r="E77" s="14">
        <f t="shared" si="0"/>
        <v>5.7069157377643773E-2</v>
      </c>
      <c r="F77" s="26"/>
      <c r="H77" s="14"/>
      <c r="I77" s="15"/>
    </row>
    <row r="78" spans="1:9" x14ac:dyDescent="0.25">
      <c r="A78" s="1">
        <v>7</v>
      </c>
      <c r="B78" s="16" t="s">
        <v>13</v>
      </c>
      <c r="C78" s="40">
        <f>data!S57</f>
        <v>5.2939885012688474E-2</v>
      </c>
      <c r="D78" s="40">
        <f>data!S56</f>
        <v>0.13736938936194285</v>
      </c>
      <c r="E78" s="40">
        <f t="shared" si="0"/>
        <v>0.19030927437463133</v>
      </c>
      <c r="F78" s="26"/>
      <c r="H78" s="14"/>
      <c r="I78" s="15"/>
    </row>
    <row r="79" spans="1:9" x14ac:dyDescent="0.25">
      <c r="A79" s="1">
        <v>8</v>
      </c>
      <c r="B79" s="20" t="s">
        <v>95</v>
      </c>
      <c r="C79" s="14">
        <f>data!BW57</f>
        <v>5.2040970183079666E-6</v>
      </c>
      <c r="D79" s="14">
        <f>data!BW56</f>
        <v>1.264484260498547E-3</v>
      </c>
      <c r="E79" s="14">
        <f t="shared" si="0"/>
        <v>1.269688357516855E-3</v>
      </c>
      <c r="F79" s="26"/>
      <c r="H79" s="14"/>
      <c r="I79" s="15"/>
    </row>
    <row r="80" spans="1:9" x14ac:dyDescent="0.25">
      <c r="A80" s="1">
        <v>9</v>
      </c>
      <c r="B80" s="1" t="s">
        <v>96</v>
      </c>
      <c r="C80" s="14">
        <f>data!BZ57</f>
        <v>2.2057007630274929E-4</v>
      </c>
      <c r="D80" s="14">
        <f>data!BZ56</f>
        <v>2.4137610907017147E-3</v>
      </c>
      <c r="E80" s="14">
        <f t="shared" si="0"/>
        <v>2.6343311670044642E-3</v>
      </c>
      <c r="F80" s="26"/>
      <c r="H80" s="20"/>
      <c r="I80" s="15"/>
    </row>
    <row r="81" spans="1:9" x14ac:dyDescent="0.25">
      <c r="A81" s="1">
        <v>10</v>
      </c>
      <c r="B81" s="1" t="s">
        <v>94</v>
      </c>
      <c r="C81" s="14">
        <f>data!BT57</f>
        <v>2.9463552850973946E-4</v>
      </c>
      <c r="D81" s="14">
        <f>data!BT56</f>
        <v>5.9977477845054106E-3</v>
      </c>
      <c r="E81" s="14">
        <f t="shared" si="0"/>
        <v>6.2923833130151497E-3</v>
      </c>
      <c r="F81" s="26"/>
      <c r="H81" s="14"/>
      <c r="I81" s="15"/>
    </row>
    <row r="82" spans="1:9" x14ac:dyDescent="0.25">
      <c r="A82" s="1">
        <v>11</v>
      </c>
      <c r="B82" s="78" t="s">
        <v>90</v>
      </c>
      <c r="C82" s="79">
        <f>data!BE57</f>
        <v>8.8952886891506891E-4</v>
      </c>
      <c r="D82" s="79">
        <f>data!BE56</f>
        <v>1.8666562628569808E-2</v>
      </c>
      <c r="E82" s="79">
        <f t="shared" si="0"/>
        <v>1.9556091497484877E-2</v>
      </c>
      <c r="F82" s="26"/>
      <c r="H82" s="14"/>
      <c r="I82" s="15"/>
    </row>
    <row r="83" spans="1:9" x14ac:dyDescent="0.25">
      <c r="A83" s="1">
        <v>12</v>
      </c>
      <c r="B83" s="20" t="s">
        <v>91</v>
      </c>
      <c r="C83" s="14">
        <f>data!BH57</f>
        <v>4.9062553943137344E-4</v>
      </c>
      <c r="D83" s="14">
        <f>data!BH56</f>
        <v>2.5317206464868985E-2</v>
      </c>
      <c r="E83" s="14">
        <f t="shared" si="0"/>
        <v>2.5807832004300358E-2</v>
      </c>
      <c r="F83" s="26"/>
      <c r="H83" s="14"/>
      <c r="I83" s="15"/>
    </row>
    <row r="84" spans="1:9" x14ac:dyDescent="0.25">
      <c r="A84" s="1">
        <v>13</v>
      </c>
      <c r="B84" s="20" t="s">
        <v>93</v>
      </c>
      <c r="C84" s="14">
        <f>data!BN57</f>
        <v>3.4007844711603582E-4</v>
      </c>
      <c r="D84" s="14">
        <f>data!BN56</f>
        <v>3.1691568082198238E-2</v>
      </c>
      <c r="E84" s="14">
        <f t="shared" si="0"/>
        <v>3.2031646529314277E-2</v>
      </c>
      <c r="F84" s="14"/>
      <c r="H84" s="14"/>
      <c r="I84" s="15"/>
    </row>
    <row r="85" spans="1:9" x14ac:dyDescent="0.25">
      <c r="A85" s="1">
        <v>14</v>
      </c>
      <c r="B85" s="1" t="s">
        <v>92</v>
      </c>
      <c r="C85" s="14">
        <f>data!BK57</f>
        <v>1.4120759677355277E-4</v>
      </c>
      <c r="D85" s="14">
        <f>data!BK56</f>
        <v>4.7311043637593982E-2</v>
      </c>
      <c r="E85" s="14">
        <f t="shared" si="0"/>
        <v>4.7452251234367533E-2</v>
      </c>
      <c r="F85" s="14"/>
      <c r="I85" s="15"/>
    </row>
    <row r="86" spans="1:9" x14ac:dyDescent="0.25">
      <c r="A86" s="1">
        <v>15</v>
      </c>
      <c r="B86" s="74" t="s">
        <v>125</v>
      </c>
      <c r="C86" s="44">
        <f>data!P57</f>
        <v>3.9050187606507005E-3</v>
      </c>
      <c r="D86" s="44">
        <f>data!P56</f>
        <v>2.8575169764932479E-2</v>
      </c>
      <c r="E86" s="44">
        <f>SUM(C86:D86)</f>
        <v>3.2480188525583181E-2</v>
      </c>
      <c r="F86" s="55"/>
      <c r="I86" s="15"/>
    </row>
    <row r="87" spans="1:9" x14ac:dyDescent="0.25">
      <c r="A87" s="1">
        <v>16</v>
      </c>
      <c r="B87" s="20" t="s">
        <v>103</v>
      </c>
      <c r="C87" s="55">
        <f>data!J57</f>
        <v>4.2723148040900771E-2</v>
      </c>
      <c r="D87" s="55">
        <f>data!J56</f>
        <v>0.16904029249171773</v>
      </c>
      <c r="E87" s="55">
        <f>D87+C87</f>
        <v>0.2117634405326185</v>
      </c>
      <c r="F87" s="55"/>
      <c r="I87" s="15"/>
    </row>
    <row r="88" spans="1:9" x14ac:dyDescent="0.25">
      <c r="A88" s="1">
        <v>17</v>
      </c>
      <c r="B88" s="78" t="s">
        <v>124</v>
      </c>
      <c r="C88" s="79">
        <f>data!M57</f>
        <v>1.0943863345675578E-3</v>
      </c>
      <c r="D88" s="79">
        <f>data!M56</f>
        <v>0.17877298223494953</v>
      </c>
      <c r="E88" s="79">
        <f>SUM(C88:D88)</f>
        <v>0.1798673685695171</v>
      </c>
      <c r="F88" s="14"/>
      <c r="I88" s="15"/>
    </row>
    <row r="89" spans="1:9" x14ac:dyDescent="0.25">
      <c r="A89" s="1">
        <v>18</v>
      </c>
      <c r="B89" s="1" t="s">
        <v>101</v>
      </c>
      <c r="C89" s="14">
        <f>data!D57</f>
        <v>4.2399167276264492E-2</v>
      </c>
      <c r="D89" s="14">
        <f>data!D56</f>
        <v>0.25161182908188012</v>
      </c>
      <c r="E89" s="14">
        <f>D89+C89</f>
        <v>0.29401099635814459</v>
      </c>
      <c r="I89" s="15"/>
    </row>
    <row r="90" spans="1:9" x14ac:dyDescent="0.25">
      <c r="A90" s="1">
        <v>19</v>
      </c>
      <c r="B90" s="16" t="s">
        <v>102</v>
      </c>
      <c r="C90" s="40">
        <f>data!G57</f>
        <v>0.10902707129766676</v>
      </c>
      <c r="D90" s="40">
        <f>data!G56</f>
        <v>0.27547092893003916</v>
      </c>
      <c r="E90" s="40">
        <f>D90+C90</f>
        <v>0.38449800022770592</v>
      </c>
      <c r="I90" s="15"/>
    </row>
    <row r="91" spans="1:9" x14ac:dyDescent="0.25">
      <c r="A91" s="1">
        <v>20</v>
      </c>
      <c r="B91" s="74" t="s">
        <v>31</v>
      </c>
      <c r="C91" s="44">
        <f>data!AR57</f>
        <v>5.9020632833917237E-2</v>
      </c>
      <c r="D91" s="44">
        <f>data!AR56</f>
        <v>3.9017417186957441E-2</v>
      </c>
      <c r="E91" s="44">
        <f>D91+C91</f>
        <v>9.8038050020874679E-2</v>
      </c>
      <c r="I91" s="15"/>
    </row>
    <row r="92" spans="1:9" x14ac:dyDescent="0.25">
      <c r="A92" s="1">
        <v>21</v>
      </c>
      <c r="B92" s="59" t="s">
        <v>20</v>
      </c>
      <c r="C92" s="58">
        <f>data!AX57</f>
        <v>3.8076759058510427E-2</v>
      </c>
      <c r="D92" s="58">
        <f>data!AX56</f>
        <v>0.10345366962006795</v>
      </c>
      <c r="E92" s="58">
        <f>D92+C92</f>
        <v>0.14153042867857837</v>
      </c>
      <c r="I92" s="15"/>
    </row>
    <row r="93" spans="1:9" x14ac:dyDescent="0.25">
      <c r="A93" s="1">
        <v>22</v>
      </c>
      <c r="B93" s="1" t="s">
        <v>28</v>
      </c>
      <c r="C93" s="14">
        <f>data!AU57</f>
        <v>0.11243965920986329</v>
      </c>
      <c r="D93" s="14">
        <f>data!AU56</f>
        <v>0.10779108740049061</v>
      </c>
      <c r="E93" s="14">
        <f>D93+C93</f>
        <v>0.22023074661035391</v>
      </c>
      <c r="F93" s="20"/>
      <c r="I93" s="15"/>
    </row>
    <row r="94" spans="1:9" x14ac:dyDescent="0.25">
      <c r="I94" s="15"/>
    </row>
    <row r="95" spans="1:9" x14ac:dyDescent="0.25">
      <c r="I95" s="15"/>
    </row>
    <row r="96" spans="1:9" x14ac:dyDescent="0.25">
      <c r="I96" s="15"/>
    </row>
    <row r="97" spans="1:9" x14ac:dyDescent="0.25">
      <c r="B97" s="26" t="s">
        <v>115</v>
      </c>
      <c r="I97" s="15"/>
    </row>
    <row r="98" spans="1:9" x14ac:dyDescent="0.25">
      <c r="A98" s="1">
        <v>1</v>
      </c>
      <c r="B98" s="3" t="s">
        <v>40</v>
      </c>
      <c r="C98" s="14">
        <f>data!AH60</f>
        <v>2.9239100901688766E-2</v>
      </c>
      <c r="I98" s="15"/>
    </row>
    <row r="99" spans="1:9" x14ac:dyDescent="0.25">
      <c r="A99" s="1">
        <v>2</v>
      </c>
      <c r="B99" s="1" t="s">
        <v>39</v>
      </c>
      <c r="C99" s="14">
        <f>data!AK60</f>
        <v>1.1786928924516467E-2</v>
      </c>
      <c r="I99" s="15"/>
    </row>
    <row r="100" spans="1:9" x14ac:dyDescent="0.25">
      <c r="A100" s="1">
        <v>3</v>
      </c>
      <c r="B100" s="3" t="s">
        <v>41</v>
      </c>
      <c r="C100" s="14">
        <f>data!AB60</f>
        <v>1.9824363658884004E-2</v>
      </c>
    </row>
    <row r="101" spans="1:9" x14ac:dyDescent="0.25">
      <c r="A101" s="1">
        <v>4</v>
      </c>
      <c r="B101" s="78" t="s">
        <v>50</v>
      </c>
      <c r="C101" s="79">
        <f>data!AE60</f>
        <v>2.1232455656104279E-2</v>
      </c>
    </row>
    <row r="102" spans="1:9" x14ac:dyDescent="0.25">
      <c r="A102" s="1">
        <v>5</v>
      </c>
      <c r="B102" s="3" t="s">
        <v>14</v>
      </c>
      <c r="C102" s="14">
        <f>data!V60</f>
        <v>3.4170508497901327E-2</v>
      </c>
    </row>
    <row r="103" spans="1:9" x14ac:dyDescent="0.25">
      <c r="A103" s="1">
        <v>6</v>
      </c>
      <c r="B103" s="93" t="s">
        <v>15</v>
      </c>
      <c r="C103" s="14">
        <f>data!Y60</f>
        <v>6.8506663298120232E-2</v>
      </c>
    </row>
    <row r="104" spans="1:9" x14ac:dyDescent="0.25">
      <c r="A104" s="1">
        <v>7</v>
      </c>
      <c r="B104" s="91" t="s">
        <v>13</v>
      </c>
      <c r="C104" s="14">
        <f>data!S60</f>
        <v>0.28014811227128328</v>
      </c>
    </row>
    <row r="105" spans="1:9" x14ac:dyDescent="0.25">
      <c r="A105" s="1">
        <v>8</v>
      </c>
      <c r="B105" s="64" t="s">
        <v>95</v>
      </c>
      <c r="C105" s="44">
        <f>data!BW60</f>
        <v>6.4257387363210782E-3</v>
      </c>
    </row>
    <row r="106" spans="1:9" x14ac:dyDescent="0.25">
      <c r="A106" s="1">
        <v>9</v>
      </c>
      <c r="B106" s="3" t="s">
        <v>96</v>
      </c>
      <c r="C106" s="14">
        <f>data!BZ60</f>
        <v>4.2948508472993793E-3</v>
      </c>
    </row>
    <row r="107" spans="1:9" x14ac:dyDescent="0.25">
      <c r="A107" s="1">
        <v>10</v>
      </c>
      <c r="B107" s="3" t="s">
        <v>94</v>
      </c>
      <c r="C107" s="14">
        <f>data!BT60</f>
        <v>2.6596175113964341E-2</v>
      </c>
    </row>
    <row r="108" spans="1:9" x14ac:dyDescent="0.25">
      <c r="A108" s="1">
        <v>11</v>
      </c>
      <c r="B108" s="78" t="s">
        <v>90</v>
      </c>
      <c r="C108" s="79">
        <f>data!BE60</f>
        <v>0.211146014347458</v>
      </c>
    </row>
    <row r="109" spans="1:9" x14ac:dyDescent="0.25">
      <c r="A109" s="1">
        <v>12</v>
      </c>
      <c r="B109" s="3" t="s">
        <v>92</v>
      </c>
      <c r="C109" s="14">
        <f>data!BK60</f>
        <v>0.17398942786069652</v>
      </c>
    </row>
    <row r="110" spans="1:9" x14ac:dyDescent="0.25">
      <c r="A110" s="1">
        <v>13</v>
      </c>
      <c r="B110" s="36" t="s">
        <v>93</v>
      </c>
      <c r="C110" s="14">
        <f>data!BN60</f>
        <v>0.20038680978628759</v>
      </c>
    </row>
    <row r="111" spans="1:9" x14ac:dyDescent="0.25">
      <c r="A111" s="1">
        <v>14</v>
      </c>
      <c r="B111" s="36" t="s">
        <v>91</v>
      </c>
      <c r="C111" s="14">
        <f>data!BH60</f>
        <v>0.25000351029921791</v>
      </c>
    </row>
    <row r="112" spans="1:9" x14ac:dyDescent="0.25">
      <c r="A112" s="1">
        <v>15</v>
      </c>
      <c r="B112" s="74" t="s">
        <v>125</v>
      </c>
      <c r="C112" s="44">
        <f>data!P69</f>
        <v>2.3359071431736485E-2</v>
      </c>
    </row>
    <row r="113" spans="1:18" x14ac:dyDescent="0.25">
      <c r="A113" s="1">
        <v>16</v>
      </c>
      <c r="B113" s="20" t="s">
        <v>124</v>
      </c>
      <c r="C113" s="55">
        <f>data!M69</f>
        <v>6.6046712054166776E-2</v>
      </c>
    </row>
    <row r="114" spans="1:18" x14ac:dyDescent="0.25">
      <c r="A114" s="1">
        <v>17</v>
      </c>
      <c r="B114" s="86" t="s">
        <v>101</v>
      </c>
      <c r="C114" s="81">
        <f>data!D60</f>
        <v>0.62037290855715987</v>
      </c>
    </row>
    <row r="115" spans="1:18" x14ac:dyDescent="0.25">
      <c r="A115" s="1">
        <v>18</v>
      </c>
      <c r="B115" s="36" t="s">
        <v>103</v>
      </c>
      <c r="C115" s="14">
        <f>data!J60</f>
        <v>0.77929664977649349</v>
      </c>
    </row>
    <row r="116" spans="1:18" x14ac:dyDescent="0.25">
      <c r="A116" s="1">
        <v>19</v>
      </c>
      <c r="B116" s="36" t="s">
        <v>102</v>
      </c>
      <c r="C116" s="14">
        <f>data!G60</f>
        <v>1.6972305738669256</v>
      </c>
    </row>
    <row r="117" spans="1:18" x14ac:dyDescent="0.25">
      <c r="A117" s="1">
        <v>20</v>
      </c>
      <c r="B117" s="64" t="s">
        <v>28</v>
      </c>
      <c r="C117" s="44">
        <f>data!AU60</f>
        <v>0.1638739463413896</v>
      </c>
    </row>
    <row r="118" spans="1:18" x14ac:dyDescent="0.25">
      <c r="A118" s="1">
        <v>21</v>
      </c>
      <c r="B118" s="86" t="s">
        <v>31</v>
      </c>
      <c r="C118" s="79">
        <f>data!AR60</f>
        <v>0.19396187760413061</v>
      </c>
    </row>
    <row r="119" spans="1:18" x14ac:dyDescent="0.25">
      <c r="A119" s="1">
        <v>22</v>
      </c>
      <c r="B119" s="93" t="s">
        <v>20</v>
      </c>
      <c r="C119" s="14">
        <f>data!AX60</f>
        <v>0.31602032839703326</v>
      </c>
    </row>
    <row r="126" spans="1:18" x14ac:dyDescent="0.25">
      <c r="B126" s="26" t="s">
        <v>107</v>
      </c>
      <c r="I126" s="15"/>
      <c r="R126" s="15"/>
    </row>
    <row r="127" spans="1:18" x14ac:dyDescent="0.25">
      <c r="A127" s="1">
        <v>1</v>
      </c>
      <c r="B127" s="1" t="s">
        <v>41</v>
      </c>
      <c r="C127" s="14">
        <f>data!AB63</f>
        <v>3.04718162890837E-2</v>
      </c>
      <c r="D127" s="14">
        <f>data!AB64</f>
        <v>0.1019625810586418</v>
      </c>
      <c r="I127" s="15"/>
      <c r="R127" s="15"/>
    </row>
    <row r="128" spans="1:18" x14ac:dyDescent="0.25">
      <c r="A128" s="1">
        <v>2</v>
      </c>
      <c r="B128" s="1" t="s">
        <v>50</v>
      </c>
      <c r="C128" s="14">
        <f>data!AE63</f>
        <v>6.340154310634015E-2</v>
      </c>
      <c r="D128" s="14">
        <f>data!AE64</f>
        <v>0.2000842373858604</v>
      </c>
      <c r="I128" s="15"/>
      <c r="R128" s="15"/>
    </row>
    <row r="129" spans="1:18" x14ac:dyDescent="0.25">
      <c r="A129" s="1">
        <v>3</v>
      </c>
      <c r="B129" s="1" t="s">
        <v>40</v>
      </c>
      <c r="C129" s="14">
        <f>data!AH63</f>
        <v>0.15612595472448842</v>
      </c>
      <c r="D129" s="14">
        <f>data!AH64</f>
        <v>0.87155585377041067</v>
      </c>
      <c r="I129" s="15"/>
      <c r="R129" s="15"/>
    </row>
    <row r="130" spans="1:18" x14ac:dyDescent="0.25">
      <c r="A130" s="1">
        <v>4</v>
      </c>
      <c r="B130" s="1" t="s">
        <v>39</v>
      </c>
      <c r="C130" s="14">
        <f>data!AK63</f>
        <v>0.28638534010490779</v>
      </c>
      <c r="D130" s="14">
        <f>data!AK64</f>
        <v>0.69694946855955764</v>
      </c>
      <c r="I130" s="15"/>
      <c r="R130" s="15"/>
    </row>
    <row r="131" spans="1:18" x14ac:dyDescent="0.25">
      <c r="A131" s="1">
        <v>5</v>
      </c>
      <c r="B131" s="1" t="s">
        <v>15</v>
      </c>
      <c r="C131" s="14">
        <f>data!Y63</f>
        <v>0.42034676471856536</v>
      </c>
      <c r="D131" s="14">
        <f>data!Y64</f>
        <v>1.5045149875166901</v>
      </c>
      <c r="I131" s="15"/>
      <c r="R131" s="15"/>
    </row>
    <row r="132" spans="1:18" x14ac:dyDescent="0.25">
      <c r="A132" s="1">
        <v>6</v>
      </c>
      <c r="B132" s="1" t="s">
        <v>13</v>
      </c>
      <c r="C132" s="14">
        <f>data!S63</f>
        <v>0.4738956220766159</v>
      </c>
      <c r="D132" s="14">
        <f>data!S64</f>
        <v>2.0709879535189044</v>
      </c>
      <c r="I132" s="15"/>
      <c r="R132" s="15"/>
    </row>
    <row r="133" spans="1:18" x14ac:dyDescent="0.25">
      <c r="A133" s="1">
        <v>7</v>
      </c>
      <c r="B133" s="1" t="s">
        <v>14</v>
      </c>
      <c r="C133" s="14">
        <f>data!V63</f>
        <v>0.50121978015786717</v>
      </c>
      <c r="D133" s="14">
        <f>data!V64</f>
        <v>1.2242757861418838</v>
      </c>
      <c r="I133" s="15"/>
      <c r="R133" s="15"/>
    </row>
    <row r="134" spans="1:18" x14ac:dyDescent="0.25">
      <c r="A134" s="1">
        <v>8</v>
      </c>
      <c r="B134" s="74" t="s">
        <v>92</v>
      </c>
      <c r="C134" s="44">
        <f>data!BK63</f>
        <v>0.24487760294227498</v>
      </c>
      <c r="D134" s="44">
        <f>data!BK64</f>
        <v>0.86643345771144276</v>
      </c>
      <c r="I134" s="15"/>
      <c r="R134" s="15"/>
    </row>
    <row r="135" spans="1:18" x14ac:dyDescent="0.25">
      <c r="A135" s="1">
        <v>9</v>
      </c>
      <c r="B135" s="1" t="s">
        <v>95</v>
      </c>
      <c r="C135" s="14">
        <f>data!BW63</f>
        <v>0.46242411245775811</v>
      </c>
      <c r="D135" s="14">
        <f>data!BW64</f>
        <v>1.8646569460595759</v>
      </c>
      <c r="I135" s="15"/>
      <c r="R135" s="15"/>
    </row>
    <row r="136" spans="1:18" x14ac:dyDescent="0.25">
      <c r="A136" s="1">
        <v>10</v>
      </c>
      <c r="B136" s="1" t="s">
        <v>93</v>
      </c>
      <c r="C136" s="14">
        <f>data!BN63</f>
        <v>0.49196399113918082</v>
      </c>
      <c r="D136" s="14">
        <f>data!BN64</f>
        <v>2.0187602746349484</v>
      </c>
      <c r="I136" s="15"/>
      <c r="R136" s="15"/>
    </row>
    <row r="137" spans="1:18" x14ac:dyDescent="0.25">
      <c r="A137" s="1">
        <v>11</v>
      </c>
      <c r="B137" s="1" t="s">
        <v>91</v>
      </c>
      <c r="C137" s="14">
        <f>data!BH63</f>
        <v>0.57355800800694778</v>
      </c>
      <c r="D137" s="14">
        <f>data!BH64</f>
        <v>3.8019489181257811</v>
      </c>
      <c r="I137" s="15"/>
      <c r="R137" s="15"/>
    </row>
    <row r="138" spans="1:18" x14ac:dyDescent="0.25">
      <c r="A138" s="1">
        <v>12</v>
      </c>
      <c r="B138" s="1" t="s">
        <v>94</v>
      </c>
      <c r="C138" s="14">
        <f>data!BT63</f>
        <v>0.69127511301878475</v>
      </c>
      <c r="D138" s="14">
        <f>data!BT64</f>
        <v>2.2850322337010764</v>
      </c>
      <c r="I138" s="15"/>
      <c r="R138" s="15"/>
    </row>
    <row r="139" spans="1:18" x14ac:dyDescent="0.25">
      <c r="A139" s="1">
        <v>13</v>
      </c>
      <c r="B139" s="1" t="s">
        <v>90</v>
      </c>
      <c r="C139" s="14">
        <f>data!BE63</f>
        <v>0.76554187296948373</v>
      </c>
      <c r="D139" s="14">
        <f>data!BE64</f>
        <v>4.8086931337165266</v>
      </c>
      <c r="I139" s="15"/>
      <c r="R139" s="15"/>
    </row>
    <row r="140" spans="1:18" x14ac:dyDescent="0.25">
      <c r="A140" s="1">
        <v>14</v>
      </c>
      <c r="B140" s="16" t="s">
        <v>96</v>
      </c>
      <c r="C140" s="40">
        <f>data!BZ63</f>
        <v>0.77407461439503455</v>
      </c>
      <c r="D140" s="40">
        <f>data!BZ64</f>
        <v>1.3623546986601933</v>
      </c>
      <c r="I140" s="15"/>
      <c r="R140" s="15"/>
    </row>
    <row r="141" spans="1:18" x14ac:dyDescent="0.25">
      <c r="A141" s="1">
        <v>15</v>
      </c>
      <c r="B141" s="1" t="s">
        <v>125</v>
      </c>
      <c r="C141" s="14">
        <f>data!P63</f>
        <v>0</v>
      </c>
      <c r="D141" s="14">
        <f>data!P64</f>
        <v>0</v>
      </c>
      <c r="I141" s="15"/>
      <c r="R141" s="15"/>
    </row>
    <row r="142" spans="1:18" x14ac:dyDescent="0.25">
      <c r="A142" s="1">
        <v>16</v>
      </c>
      <c r="B142" s="1" t="s">
        <v>103</v>
      </c>
      <c r="C142" s="14">
        <f>data!J63</f>
        <v>2.1140412826523302E-2</v>
      </c>
      <c r="D142" s="14">
        <f>data!J64</f>
        <v>0.11502247500955301</v>
      </c>
      <c r="I142" s="15"/>
      <c r="R142" s="15"/>
    </row>
    <row r="143" spans="1:18" x14ac:dyDescent="0.25">
      <c r="A143" s="1">
        <v>17</v>
      </c>
      <c r="B143" s="1" t="s">
        <v>124</v>
      </c>
      <c r="C143" s="14">
        <f>data!M63</f>
        <v>0.11165218100369663</v>
      </c>
      <c r="D143" s="14">
        <f>data!M64</f>
        <v>8.4666578205272153E-2</v>
      </c>
      <c r="I143" s="15"/>
      <c r="R143" s="15"/>
    </row>
    <row r="144" spans="1:18" x14ac:dyDescent="0.25">
      <c r="A144" s="1">
        <v>18</v>
      </c>
      <c r="B144" s="1" t="s">
        <v>102</v>
      </c>
      <c r="C144" s="14">
        <f>data!G63</f>
        <v>0.19839797855891525</v>
      </c>
      <c r="D144" s="14">
        <f>data!G64</f>
        <v>2.0175913649181125</v>
      </c>
      <c r="I144" s="15"/>
      <c r="R144" s="15"/>
    </row>
    <row r="145" spans="1:18" x14ac:dyDescent="0.25">
      <c r="A145" s="1">
        <v>19</v>
      </c>
      <c r="B145" s="16" t="s">
        <v>101</v>
      </c>
      <c r="C145" s="40">
        <f>data!D63</f>
        <v>0.20511196935492751</v>
      </c>
      <c r="D145" s="40">
        <f>data!D64</f>
        <v>0.77980352772890615</v>
      </c>
      <c r="I145" s="15"/>
      <c r="R145" s="15"/>
    </row>
    <row r="146" spans="1:18" x14ac:dyDescent="0.25">
      <c r="A146" s="1">
        <v>20</v>
      </c>
      <c r="B146" s="1" t="s">
        <v>20</v>
      </c>
      <c r="C146" s="14">
        <f>data!AX63</f>
        <v>2.4742454192659531E-2</v>
      </c>
      <c r="D146" s="14">
        <f>data!AX64</f>
        <v>0.17897016723333337</v>
      </c>
      <c r="I146" s="15"/>
      <c r="R146" s="15"/>
    </row>
    <row r="147" spans="1:18" x14ac:dyDescent="0.25">
      <c r="A147" s="1">
        <v>21</v>
      </c>
      <c r="B147" s="1" t="s">
        <v>28</v>
      </c>
      <c r="C147" s="14">
        <f>data!AU63</f>
        <v>0.21577102384678593</v>
      </c>
      <c r="D147" s="14">
        <f>data!AU64</f>
        <v>1.0703433165258176</v>
      </c>
      <c r="I147" s="15"/>
      <c r="R147" s="15"/>
    </row>
    <row r="148" spans="1:18" x14ac:dyDescent="0.25">
      <c r="A148" s="1">
        <v>22</v>
      </c>
      <c r="B148" s="1" t="s">
        <v>31</v>
      </c>
      <c r="C148" s="14">
        <f>data!AR63</f>
        <v>0.41244995818307839</v>
      </c>
      <c r="D148" s="14">
        <f>data!AR64</f>
        <v>2.1128375853047436</v>
      </c>
      <c r="I148" s="15"/>
      <c r="R148" s="15"/>
    </row>
    <row r="149" spans="1:18" x14ac:dyDescent="0.25">
      <c r="I149" s="15"/>
      <c r="R149" s="15"/>
    </row>
    <row r="150" spans="1:18" x14ac:dyDescent="0.25">
      <c r="I150" s="15"/>
      <c r="R150" s="15"/>
    </row>
    <row r="151" spans="1:18" x14ac:dyDescent="0.25">
      <c r="I151" s="15"/>
      <c r="R151" s="15"/>
    </row>
    <row r="152" spans="1:18" x14ac:dyDescent="0.25">
      <c r="I152" s="15"/>
      <c r="R152" s="15"/>
    </row>
    <row r="153" spans="1:18" x14ac:dyDescent="0.25">
      <c r="I153" s="15"/>
      <c r="R153" s="15"/>
    </row>
    <row r="154" spans="1:18" x14ac:dyDescent="0.25">
      <c r="I154" s="15"/>
      <c r="R154" s="15"/>
    </row>
    <row r="158" spans="1:18" ht="15.75" x14ac:dyDescent="0.25">
      <c r="A158" s="92" t="s">
        <v>112</v>
      </c>
    </row>
    <row r="161" spans="1:9" x14ac:dyDescent="0.25">
      <c r="C161" s="26" t="s">
        <v>73</v>
      </c>
      <c r="D161" s="26" t="s">
        <v>74</v>
      </c>
      <c r="E161" s="82" t="s">
        <v>98</v>
      </c>
      <c r="F161" s="26"/>
      <c r="G161" s="1" t="s">
        <v>97</v>
      </c>
      <c r="I161" s="15"/>
    </row>
    <row r="162" spans="1:9" x14ac:dyDescent="0.25">
      <c r="A162" s="1">
        <v>1</v>
      </c>
      <c r="B162" s="1" t="s">
        <v>15</v>
      </c>
      <c r="C162" s="14">
        <f>data!Y39</f>
        <v>0.1641</v>
      </c>
      <c r="D162" s="14">
        <f>data!Y38</f>
        <v>0.12759999999999999</v>
      </c>
      <c r="E162" s="83">
        <f>data!Y77</f>
        <v>0.17614486785505512</v>
      </c>
      <c r="F162" s="14"/>
      <c r="G162" s="14">
        <f t="shared" ref="G162:G168" si="1">C162-$H$162</f>
        <v>4.41E-2</v>
      </c>
      <c r="H162" s="42">
        <v>0.12</v>
      </c>
      <c r="I162" s="15"/>
    </row>
    <row r="163" spans="1:9" x14ac:dyDescent="0.25">
      <c r="A163" s="1">
        <v>2</v>
      </c>
      <c r="B163" s="1" t="s">
        <v>40</v>
      </c>
      <c r="C163" s="14">
        <f>data!AH39</f>
        <v>0.17407864257739947</v>
      </c>
      <c r="D163" s="14">
        <f>data!AH38</f>
        <v>0.12540911997580106</v>
      </c>
      <c r="E163" s="83">
        <f>data!AH77</f>
        <v>0.1608986765224957</v>
      </c>
      <c r="F163" s="14"/>
      <c r="G163" s="14">
        <f t="shared" si="1"/>
        <v>5.4078642577399472E-2</v>
      </c>
      <c r="H163" s="14"/>
      <c r="I163" s="15"/>
    </row>
    <row r="164" spans="1:9" x14ac:dyDescent="0.25">
      <c r="A164" s="1">
        <v>3</v>
      </c>
      <c r="B164" s="1" t="s">
        <v>13</v>
      </c>
      <c r="C164" s="14">
        <f>data!S39</f>
        <v>0.21749289429789084</v>
      </c>
      <c r="D164" s="14">
        <f>data!S38</f>
        <v>0.17422731167049271</v>
      </c>
      <c r="E164" s="83">
        <f>data!S77</f>
        <v>0.17666037647981297</v>
      </c>
      <c r="F164" s="14"/>
      <c r="G164" s="14">
        <f t="shared" si="1"/>
        <v>9.7492894297890847E-2</v>
      </c>
      <c r="H164" s="14"/>
      <c r="I164" s="15"/>
    </row>
    <row r="165" spans="1:9" x14ac:dyDescent="0.25">
      <c r="A165" s="1">
        <v>4</v>
      </c>
      <c r="B165" s="78" t="s">
        <v>41</v>
      </c>
      <c r="C165" s="79">
        <f>data!AB39</f>
        <v>0.25801494108902046</v>
      </c>
      <c r="D165" s="79">
        <f>data!AB38</f>
        <v>0.20427938469846091</v>
      </c>
      <c r="E165" s="79">
        <f>data!AB77</f>
        <v>0.25345715045778844</v>
      </c>
      <c r="F165" s="67"/>
      <c r="G165" s="67">
        <f t="shared" si="1"/>
        <v>0.13801494108902046</v>
      </c>
      <c r="H165" s="14"/>
      <c r="I165" s="15"/>
    </row>
    <row r="166" spans="1:9" x14ac:dyDescent="0.25">
      <c r="A166" s="1">
        <v>5</v>
      </c>
      <c r="B166" s="1" t="s">
        <v>14</v>
      </c>
      <c r="C166" s="14">
        <f>data!V39</f>
        <v>0.28899999999999998</v>
      </c>
      <c r="D166" s="14">
        <f>data!V38</f>
        <v>0.27</v>
      </c>
      <c r="E166" s="83">
        <f>data!V77</f>
        <v>0.34271734969233503</v>
      </c>
      <c r="F166" s="14"/>
      <c r="G166" s="14">
        <f t="shared" si="1"/>
        <v>0.16899999999999998</v>
      </c>
      <c r="H166" s="14"/>
      <c r="I166" s="15"/>
    </row>
    <row r="167" spans="1:9" x14ac:dyDescent="0.25">
      <c r="A167" s="1">
        <v>6</v>
      </c>
      <c r="B167" s="1" t="s">
        <v>39</v>
      </c>
      <c r="C167" s="14">
        <f>data!AK39</f>
        <v>0.29058690794485104</v>
      </c>
      <c r="D167" s="14">
        <f>data!AK38</f>
        <v>0.25553482786634668</v>
      </c>
      <c r="E167" s="83">
        <f>data!AK77</f>
        <v>0.27166509484504919</v>
      </c>
      <c r="F167" s="14"/>
      <c r="G167" s="14">
        <f t="shared" si="1"/>
        <v>0.17058690794485104</v>
      </c>
      <c r="H167" s="14"/>
      <c r="I167" s="15"/>
    </row>
    <row r="168" spans="1:9" x14ac:dyDescent="0.25">
      <c r="A168" s="1">
        <v>7</v>
      </c>
      <c r="B168" s="20" t="s">
        <v>50</v>
      </c>
      <c r="C168" s="55">
        <f>data!AE39</f>
        <v>0.30009999999999998</v>
      </c>
      <c r="D168" s="55">
        <f>data!AE38</f>
        <v>0.2346</v>
      </c>
      <c r="E168" s="84">
        <f>data!AE77</f>
        <v>0.2915475633670872</v>
      </c>
      <c r="F168" s="55"/>
      <c r="G168" s="14">
        <f t="shared" si="1"/>
        <v>0.18009999999999998</v>
      </c>
      <c r="H168" s="55"/>
      <c r="I168" s="15"/>
    </row>
    <row r="169" spans="1:9" x14ac:dyDescent="0.25">
      <c r="A169" s="1">
        <v>8</v>
      </c>
      <c r="B169" s="74" t="s">
        <v>91</v>
      </c>
      <c r="C169" s="44">
        <f>data!BH39</f>
        <v>0.13</v>
      </c>
      <c r="D169" s="75" t="s">
        <v>69</v>
      </c>
      <c r="E169" s="85">
        <f>data!BH77</f>
        <v>9.7627111557116578E-2</v>
      </c>
      <c r="F169" s="20"/>
      <c r="G169" s="14">
        <f>C169-$H$169</f>
        <v>1.0000000000000009E-2</v>
      </c>
      <c r="H169" s="42">
        <v>0.12</v>
      </c>
      <c r="I169" s="15"/>
    </row>
    <row r="170" spans="1:9" x14ac:dyDescent="0.25">
      <c r="A170" s="1">
        <v>9</v>
      </c>
      <c r="B170" s="1" t="s">
        <v>90</v>
      </c>
      <c r="C170" s="14">
        <f>data!BE39</f>
        <v>0.13700000000000001</v>
      </c>
      <c r="D170" s="50" t="s">
        <v>69</v>
      </c>
      <c r="E170" s="83">
        <f>data!BE77</f>
        <v>0.15549000751557665</v>
      </c>
      <c r="G170" s="14">
        <f t="shared" ref="G170:G175" si="2">C170-$H$169</f>
        <v>1.7000000000000015E-2</v>
      </c>
      <c r="I170" s="15"/>
    </row>
    <row r="171" spans="1:9" x14ac:dyDescent="0.25">
      <c r="A171" s="1">
        <v>10</v>
      </c>
      <c r="B171" s="20" t="s">
        <v>93</v>
      </c>
      <c r="C171" s="14">
        <f>data!BN39</f>
        <v>0.1386</v>
      </c>
      <c r="D171" s="50" t="s">
        <v>69</v>
      </c>
      <c r="E171" s="83">
        <f>data!BN77</f>
        <v>0.10825183956040967</v>
      </c>
      <c r="G171" s="14">
        <f t="shared" si="2"/>
        <v>1.8600000000000005E-2</v>
      </c>
      <c r="I171" s="15"/>
    </row>
    <row r="172" spans="1:9" x14ac:dyDescent="0.25">
      <c r="A172" s="1">
        <v>11</v>
      </c>
      <c r="B172" s="86" t="s">
        <v>95</v>
      </c>
      <c r="C172" s="79">
        <f>data!BW39</f>
        <v>0.15409999999999999</v>
      </c>
      <c r="D172" s="87" t="s">
        <v>69</v>
      </c>
      <c r="E172" s="79">
        <f>data!BW77</f>
        <v>0.15325015024073055</v>
      </c>
      <c r="G172" s="14">
        <f t="shared" si="2"/>
        <v>3.4099999999999991E-2</v>
      </c>
      <c r="I172" s="15"/>
    </row>
    <row r="173" spans="1:9" x14ac:dyDescent="0.25">
      <c r="A173" s="1">
        <v>12</v>
      </c>
      <c r="B173" s="1" t="s">
        <v>96</v>
      </c>
      <c r="C173" s="14">
        <f>data!BZ39</f>
        <v>0.15809999999999999</v>
      </c>
      <c r="D173" s="50" t="s">
        <v>69</v>
      </c>
      <c r="E173" s="83">
        <f>data!BZ77</f>
        <v>0.15556123559218413</v>
      </c>
      <c r="G173" s="14">
        <f t="shared" si="2"/>
        <v>3.8099999999999995E-2</v>
      </c>
      <c r="H173" s="14"/>
      <c r="I173" s="15"/>
    </row>
    <row r="174" spans="1:9" x14ac:dyDescent="0.25">
      <c r="A174" s="1">
        <v>13</v>
      </c>
      <c r="B174" s="1" t="s">
        <v>92</v>
      </c>
      <c r="C174" s="14">
        <f>data!BK39</f>
        <v>0.15840000000000001</v>
      </c>
      <c r="D174" s="50" t="s">
        <v>69</v>
      </c>
      <c r="E174" s="83">
        <f>data!BK77</f>
        <v>0.168657843311423</v>
      </c>
      <c r="G174" s="14">
        <f t="shared" si="2"/>
        <v>3.8400000000000017E-2</v>
      </c>
      <c r="I174" s="15"/>
    </row>
    <row r="175" spans="1:9" x14ac:dyDescent="0.25">
      <c r="A175" s="1">
        <v>14</v>
      </c>
      <c r="B175" s="1" t="s">
        <v>94</v>
      </c>
      <c r="C175" s="14">
        <f>data!BT39</f>
        <v>0.16209999999999999</v>
      </c>
      <c r="D175" s="50" t="s">
        <v>69</v>
      </c>
      <c r="E175" s="83">
        <f>data!BT77</f>
        <v>0.15824845160808895</v>
      </c>
      <c r="G175" s="14">
        <f t="shared" si="2"/>
        <v>4.2099999999999999E-2</v>
      </c>
      <c r="I175" s="15"/>
    </row>
    <row r="176" spans="1:9" x14ac:dyDescent="0.25">
      <c r="A176" s="1">
        <v>15</v>
      </c>
      <c r="B176" s="74" t="s">
        <v>102</v>
      </c>
      <c r="C176" s="44">
        <f>data!G39</f>
        <v>0.17199999999999999</v>
      </c>
      <c r="D176" s="44">
        <f>data!G38</f>
        <v>0.10100000000000001</v>
      </c>
      <c r="E176" s="85">
        <f>data!G77</f>
        <v>2.0212777770487102E-2</v>
      </c>
      <c r="F176" s="14"/>
      <c r="G176" s="14">
        <f>C176-$H$176</f>
        <v>9.1999999999999985E-2</v>
      </c>
      <c r="H176" s="42">
        <v>0.08</v>
      </c>
      <c r="I176" s="15"/>
    </row>
    <row r="177" spans="1:9" x14ac:dyDescent="0.25">
      <c r="A177" s="1">
        <v>16</v>
      </c>
      <c r="B177" s="1" t="s">
        <v>103</v>
      </c>
      <c r="C177" s="14">
        <f>data!J39</f>
        <v>0.17699999999999999</v>
      </c>
      <c r="D177" s="14">
        <f>data!J38</f>
        <v>0.14299999999999999</v>
      </c>
      <c r="E177" s="83">
        <f>data!J77</f>
        <v>6.8081916678660065E-2</v>
      </c>
      <c r="F177" s="67"/>
      <c r="G177" s="67">
        <f t="shared" ref="G177:G180" si="3">C177-$H$176</f>
        <v>9.6999999999999989E-2</v>
      </c>
      <c r="H177" s="14"/>
      <c r="I177" s="15"/>
    </row>
    <row r="178" spans="1:9" x14ac:dyDescent="0.25">
      <c r="A178" s="1">
        <v>17</v>
      </c>
      <c r="B178" s="86" t="s">
        <v>101</v>
      </c>
      <c r="C178" s="79">
        <f>data!D39</f>
        <v>0.17799999999999999</v>
      </c>
      <c r="D178" s="87">
        <f>data!D38</f>
        <v>0.16200000000000001</v>
      </c>
      <c r="E178" s="79">
        <f>data!D77</f>
        <v>7.7864671880312819E-2</v>
      </c>
      <c r="F178" s="14"/>
      <c r="G178" s="14">
        <f t="shared" si="3"/>
        <v>9.799999999999999E-2</v>
      </c>
      <c r="H178" s="14"/>
      <c r="I178" s="15"/>
    </row>
    <row r="179" spans="1:9" x14ac:dyDescent="0.25">
      <c r="A179" s="1">
        <v>18</v>
      </c>
      <c r="B179" s="1" t="s">
        <v>125</v>
      </c>
      <c r="C179" s="14">
        <f>data!P39</f>
        <v>0.22589999999999999</v>
      </c>
      <c r="D179" s="14">
        <f>data!P39</f>
        <v>0.22589999999999999</v>
      </c>
      <c r="E179" s="83">
        <f>data!P77</f>
        <v>0.21921207737613932</v>
      </c>
      <c r="G179" s="14">
        <f t="shared" si="3"/>
        <v>0.14589999999999997</v>
      </c>
      <c r="I179" s="15"/>
    </row>
    <row r="180" spans="1:9" x14ac:dyDescent="0.25">
      <c r="A180" s="1">
        <v>19</v>
      </c>
      <c r="B180" s="1" t="s">
        <v>124</v>
      </c>
      <c r="C180" s="14">
        <f>data!M39</f>
        <v>1.0069999999999999</v>
      </c>
      <c r="D180" s="14">
        <f>data!M38</f>
        <v>1.0069999999999999</v>
      </c>
      <c r="E180" s="83">
        <f>data!M77</f>
        <v>0.79165994666831585</v>
      </c>
      <c r="G180" s="14">
        <f t="shared" si="3"/>
        <v>0.92699999999999994</v>
      </c>
      <c r="I180" s="15"/>
    </row>
    <row r="181" spans="1:9" x14ac:dyDescent="0.25">
      <c r="A181" s="1">
        <v>20</v>
      </c>
      <c r="B181" s="74" t="s">
        <v>20</v>
      </c>
      <c r="C181" s="44">
        <f>data!AX39</f>
        <v>0.1123</v>
      </c>
      <c r="D181" s="44">
        <f>data!AX38</f>
        <v>8.5999999999999993E-2</v>
      </c>
      <c r="E181" s="85">
        <f>data!AX77</f>
        <v>0.12058872260679837</v>
      </c>
      <c r="G181" s="67">
        <f>C181-$H$181</f>
        <v>7.3000000000000009E-3</v>
      </c>
      <c r="H181" s="42">
        <v>0.105</v>
      </c>
      <c r="I181" s="15"/>
    </row>
    <row r="182" spans="1:9" x14ac:dyDescent="0.25">
      <c r="A182" s="1">
        <v>21</v>
      </c>
      <c r="B182" s="78" t="s">
        <v>28</v>
      </c>
      <c r="C182" s="79">
        <f>data!AU39</f>
        <v>0.14610000000000001</v>
      </c>
      <c r="D182" s="79">
        <f>data!AU38</f>
        <v>9.9699999999999997E-2</v>
      </c>
      <c r="E182" s="79">
        <f>data!AU77</f>
        <v>0.15233811023219782</v>
      </c>
      <c r="G182" s="67">
        <f>C182-$H$181</f>
        <v>4.1100000000000012E-2</v>
      </c>
      <c r="I182" s="15"/>
    </row>
    <row r="183" spans="1:9" x14ac:dyDescent="0.25">
      <c r="A183" s="1">
        <v>22</v>
      </c>
      <c r="B183" s="1" t="s">
        <v>31</v>
      </c>
      <c r="C183" s="14">
        <f>data!AR39</f>
        <v>0.19639999999999999</v>
      </c>
      <c r="D183" s="14">
        <f>data!AR38</f>
        <v>0.1152</v>
      </c>
      <c r="E183" s="83">
        <f>data!AR77</f>
        <v>0.20247783858870541</v>
      </c>
      <c r="F183" s="42"/>
      <c r="G183" s="67">
        <f>C183-$H$181</f>
        <v>9.1399999999999995E-2</v>
      </c>
      <c r="I183" s="15"/>
    </row>
    <row r="184" spans="1:9" x14ac:dyDescent="0.25">
      <c r="I184" s="15"/>
    </row>
    <row r="185" spans="1:9" x14ac:dyDescent="0.25">
      <c r="F185" s="42"/>
      <c r="H185" s="42"/>
      <c r="I185" s="15"/>
    </row>
    <row r="186" spans="1:9" x14ac:dyDescent="0.25">
      <c r="F186" s="42"/>
      <c r="G186" s="42"/>
      <c r="H186" s="42"/>
      <c r="I186" s="15"/>
    </row>
    <row r="187" spans="1:9" x14ac:dyDescent="0.25">
      <c r="B187" s="7"/>
      <c r="C187" s="42"/>
      <c r="D187" s="42"/>
      <c r="E187" s="42"/>
      <c r="F187" s="42"/>
      <c r="G187" s="42"/>
      <c r="H187" s="42"/>
      <c r="I187" s="15"/>
    </row>
    <row r="188" spans="1:9" x14ac:dyDescent="0.25">
      <c r="B188" s="7"/>
      <c r="C188" s="42"/>
      <c r="D188" s="42"/>
      <c r="E188" s="42"/>
      <c r="F188" s="42"/>
      <c r="G188" s="42"/>
      <c r="H188" s="42"/>
      <c r="I188" s="15"/>
    </row>
    <row r="189" spans="1:9" x14ac:dyDescent="0.25">
      <c r="B189" s="7"/>
      <c r="C189" s="42"/>
      <c r="D189" s="42"/>
      <c r="E189" s="42"/>
      <c r="F189" s="42"/>
      <c r="G189" s="42"/>
      <c r="H189" s="42"/>
      <c r="I189" s="15"/>
    </row>
    <row r="190" spans="1:9" x14ac:dyDescent="0.25">
      <c r="B190" s="7"/>
      <c r="C190" s="42"/>
      <c r="D190" s="42"/>
      <c r="E190" s="42"/>
      <c r="F190" s="42"/>
      <c r="G190" s="42"/>
    </row>
    <row r="191" spans="1:9" x14ac:dyDescent="0.25">
      <c r="B191" s="7"/>
      <c r="C191" s="42"/>
      <c r="D191" s="42"/>
      <c r="E191" s="42"/>
      <c r="F191" s="42"/>
      <c r="G191" s="42"/>
    </row>
    <row r="194" spans="1:9" ht="15.75" x14ac:dyDescent="0.25">
      <c r="A194" s="92" t="s">
        <v>114</v>
      </c>
      <c r="B194" s="7"/>
    </row>
    <row r="195" spans="1:9" x14ac:dyDescent="0.25">
      <c r="B195" s="95" t="s">
        <v>51</v>
      </c>
      <c r="I195" s="15"/>
    </row>
    <row r="196" spans="1:9" x14ac:dyDescent="0.25">
      <c r="A196" s="1">
        <v>1</v>
      </c>
      <c r="B196" s="3" t="s">
        <v>15</v>
      </c>
      <c r="C196" s="14">
        <f>data!Y96</f>
        <v>0.48591097561070395</v>
      </c>
      <c r="I196" s="15"/>
    </row>
    <row r="197" spans="1:9" x14ac:dyDescent="0.25">
      <c r="A197" s="1">
        <v>2</v>
      </c>
      <c r="B197" s="3" t="s">
        <v>14</v>
      </c>
      <c r="C197" s="14">
        <f>data!V96</f>
        <v>0.63532275140248884</v>
      </c>
      <c r="I197" s="15"/>
    </row>
    <row r="198" spans="1:9" x14ac:dyDescent="0.25">
      <c r="A198" s="1">
        <v>3</v>
      </c>
      <c r="B198" s="3" t="s">
        <v>39</v>
      </c>
      <c r="C198" s="14">
        <f>data!AK96</f>
        <v>1.0030825782619266</v>
      </c>
      <c r="I198" s="15"/>
    </row>
    <row r="199" spans="1:9" x14ac:dyDescent="0.25">
      <c r="A199" s="1">
        <v>4</v>
      </c>
      <c r="B199" s="36" t="s">
        <v>40</v>
      </c>
      <c r="C199" s="14">
        <f>data!AH96</f>
        <v>1.4420983764278898</v>
      </c>
      <c r="I199" s="15"/>
    </row>
    <row r="200" spans="1:9" x14ac:dyDescent="0.25">
      <c r="A200" s="1">
        <v>5</v>
      </c>
      <c r="B200" s="3" t="s">
        <v>13</v>
      </c>
      <c r="C200" s="14">
        <f>data!S96</f>
        <v>1.5193001061347164</v>
      </c>
      <c r="I200" s="15"/>
    </row>
    <row r="201" spans="1:9" x14ac:dyDescent="0.25">
      <c r="A201" s="1">
        <v>6</v>
      </c>
      <c r="B201" s="36" t="s">
        <v>50</v>
      </c>
      <c r="C201" s="14">
        <f>data!AE96</f>
        <v>1.8347231522529917</v>
      </c>
      <c r="I201" s="15"/>
    </row>
    <row r="202" spans="1:9" x14ac:dyDescent="0.25">
      <c r="A202" s="1">
        <v>7</v>
      </c>
      <c r="B202" s="91" t="s">
        <v>41</v>
      </c>
      <c r="C202" s="14">
        <f>data!AB96</f>
        <v>2.7708282877720913</v>
      </c>
      <c r="I202" s="15"/>
    </row>
    <row r="203" spans="1:9" x14ac:dyDescent="0.25">
      <c r="A203" s="1">
        <v>8</v>
      </c>
      <c r="B203" s="36" t="s">
        <v>96</v>
      </c>
      <c r="C203" s="44">
        <f>data!BZ96</f>
        <v>0.79727355024229196</v>
      </c>
      <c r="I203" s="15"/>
    </row>
    <row r="204" spans="1:9" x14ac:dyDescent="0.25">
      <c r="A204" s="1">
        <v>9</v>
      </c>
      <c r="B204" s="36" t="s">
        <v>92</v>
      </c>
      <c r="C204" s="55">
        <f>data!BK96</f>
        <v>1.1355523918582939</v>
      </c>
      <c r="I204" s="15"/>
    </row>
    <row r="205" spans="1:9" x14ac:dyDescent="0.25">
      <c r="A205" s="1">
        <v>10</v>
      </c>
      <c r="B205" s="36" t="s">
        <v>93</v>
      </c>
      <c r="C205" s="55">
        <f>data!BN96</f>
        <v>1.2588302570903649</v>
      </c>
      <c r="I205" s="15"/>
    </row>
    <row r="206" spans="1:9" x14ac:dyDescent="0.25">
      <c r="A206" s="1">
        <v>11</v>
      </c>
      <c r="B206" s="36" t="s">
        <v>91</v>
      </c>
      <c r="C206" s="55">
        <f>data!BH96</f>
        <v>1.2596804854268455</v>
      </c>
      <c r="I206" s="15"/>
    </row>
    <row r="207" spans="1:9" x14ac:dyDescent="0.25">
      <c r="A207" s="1">
        <v>12</v>
      </c>
      <c r="B207" s="36" t="s">
        <v>90</v>
      </c>
      <c r="C207" s="55">
        <f>data!BE96</f>
        <v>1.3729947931022386</v>
      </c>
      <c r="I207" s="15"/>
    </row>
    <row r="208" spans="1:9" x14ac:dyDescent="0.25">
      <c r="A208" s="1">
        <v>13</v>
      </c>
      <c r="B208" s="36" t="s">
        <v>95</v>
      </c>
      <c r="C208" s="55">
        <f>data!BW96</f>
        <v>1.3921171782085255</v>
      </c>
      <c r="I208" s="15"/>
    </row>
    <row r="209" spans="1:9" x14ac:dyDescent="0.25">
      <c r="A209" s="1">
        <v>14</v>
      </c>
      <c r="B209" s="91" t="s">
        <v>94</v>
      </c>
      <c r="C209" s="40">
        <f>data!BT96</f>
        <v>1.5619172192291753</v>
      </c>
      <c r="I209" s="15"/>
    </row>
    <row r="210" spans="1:9" x14ac:dyDescent="0.25">
      <c r="A210" s="1">
        <v>15</v>
      </c>
      <c r="B210" s="1" t="s">
        <v>124</v>
      </c>
      <c r="C210" s="55">
        <f>data!M96</f>
        <v>0.4989888732130463</v>
      </c>
      <c r="I210" s="15"/>
    </row>
    <row r="211" spans="1:9" x14ac:dyDescent="0.25">
      <c r="A211" s="1">
        <v>16</v>
      </c>
      <c r="B211" s="3" t="s">
        <v>101</v>
      </c>
      <c r="C211" s="14">
        <f>data!D96</f>
        <v>0.64115567835720155</v>
      </c>
      <c r="I211" s="15"/>
    </row>
    <row r="212" spans="1:9" x14ac:dyDescent="0.25">
      <c r="A212" s="1">
        <v>17</v>
      </c>
      <c r="B212" s="3" t="s">
        <v>103</v>
      </c>
      <c r="C212" s="14">
        <f>data!J96</f>
        <v>0.74209506877916831</v>
      </c>
      <c r="I212" s="15"/>
    </row>
    <row r="213" spans="1:9" x14ac:dyDescent="0.25">
      <c r="A213" s="1">
        <v>18</v>
      </c>
      <c r="B213" s="36" t="s">
        <v>102</v>
      </c>
      <c r="C213" s="14">
        <f>data!G96</f>
        <v>0.90038528472913737</v>
      </c>
      <c r="I213" s="15"/>
    </row>
    <row r="214" spans="1:9" x14ac:dyDescent="0.25">
      <c r="A214" s="1">
        <v>19</v>
      </c>
      <c r="B214" s="1" t="s">
        <v>125</v>
      </c>
      <c r="C214" s="50" t="s">
        <v>123</v>
      </c>
      <c r="I214" s="15"/>
    </row>
    <row r="215" spans="1:9" x14ac:dyDescent="0.25">
      <c r="A215" s="1">
        <v>20</v>
      </c>
      <c r="B215" s="64" t="s">
        <v>31</v>
      </c>
      <c r="C215" s="44">
        <f>data!AR96</f>
        <v>0.55734863521135058</v>
      </c>
      <c r="I215" s="15"/>
    </row>
    <row r="216" spans="1:9" x14ac:dyDescent="0.25">
      <c r="A216" s="1">
        <v>21</v>
      </c>
      <c r="B216" s="36" t="s">
        <v>28</v>
      </c>
      <c r="C216" s="55">
        <f>data!AU96</f>
        <v>0.83282420390335554</v>
      </c>
      <c r="I216" s="15"/>
    </row>
    <row r="217" spans="1:9" x14ac:dyDescent="0.25">
      <c r="A217" s="1">
        <v>22</v>
      </c>
      <c r="B217" s="36" t="s">
        <v>20</v>
      </c>
      <c r="C217" s="55">
        <f>data!AX96</f>
        <v>0.92423730597489717</v>
      </c>
      <c r="I217" s="15"/>
    </row>
    <row r="218" spans="1:9" x14ac:dyDescent="0.25">
      <c r="I218" s="15"/>
    </row>
    <row r="219" spans="1:9" x14ac:dyDescent="0.25">
      <c r="I219" s="15"/>
    </row>
    <row r="220" spans="1:9" x14ac:dyDescent="0.25">
      <c r="I220" s="15"/>
    </row>
    <row r="221" spans="1:9" x14ac:dyDescent="0.25">
      <c r="I221" s="15"/>
    </row>
    <row r="222" spans="1:9" x14ac:dyDescent="0.25">
      <c r="I222" s="15"/>
    </row>
    <row r="223" spans="1:9" x14ac:dyDescent="0.25">
      <c r="I223" s="15"/>
    </row>
    <row r="228" spans="2:9" x14ac:dyDescent="0.25">
      <c r="B228" s="95" t="s">
        <v>75</v>
      </c>
      <c r="C228" s="42"/>
      <c r="D228" s="42"/>
    </row>
    <row r="229" spans="2:9" x14ac:dyDescent="0.25">
      <c r="B229" s="3" t="s">
        <v>15</v>
      </c>
      <c r="C229" s="14">
        <f>data!Y97</f>
        <v>2.0164880210590423E-2</v>
      </c>
      <c r="D229" s="42"/>
      <c r="I229" s="15"/>
    </row>
    <row r="230" spans="2:9" x14ac:dyDescent="0.25">
      <c r="B230" s="3" t="s">
        <v>13</v>
      </c>
      <c r="C230" s="14">
        <f>data!S97</f>
        <v>5.6847723404395534E-2</v>
      </c>
      <c r="D230" s="42"/>
      <c r="I230" s="15"/>
    </row>
    <row r="231" spans="2:9" x14ac:dyDescent="0.25">
      <c r="B231" s="3" t="s">
        <v>41</v>
      </c>
      <c r="C231" s="14">
        <f>data!AB97</f>
        <v>7.896190080951257E-2</v>
      </c>
      <c r="D231" s="42"/>
      <c r="I231" s="15"/>
    </row>
    <row r="232" spans="2:9" x14ac:dyDescent="0.25">
      <c r="B232" s="3" t="s">
        <v>14</v>
      </c>
      <c r="C232" s="14">
        <f>data!V97</f>
        <v>9.3043314820965575E-2</v>
      </c>
      <c r="D232" s="42"/>
      <c r="I232" s="15"/>
    </row>
    <row r="233" spans="2:9" x14ac:dyDescent="0.25">
      <c r="B233" s="3" t="s">
        <v>39</v>
      </c>
      <c r="C233" s="14">
        <f>data!AK97</f>
        <v>0.11023637927574624</v>
      </c>
      <c r="D233" s="42"/>
      <c r="I233" s="15"/>
    </row>
    <row r="234" spans="2:9" x14ac:dyDescent="0.25">
      <c r="B234" s="36" t="s">
        <v>50</v>
      </c>
      <c r="C234" s="55">
        <f>data!AE97</f>
        <v>0.15321052020275455</v>
      </c>
      <c r="D234" s="42"/>
      <c r="I234" s="15"/>
    </row>
    <row r="235" spans="2:9" x14ac:dyDescent="0.25">
      <c r="B235" s="91" t="s">
        <v>40</v>
      </c>
      <c r="C235" s="40">
        <f>data!AH97</f>
        <v>0.19636528862455369</v>
      </c>
      <c r="D235" s="42"/>
      <c r="I235" s="15"/>
    </row>
    <row r="236" spans="2:9" x14ac:dyDescent="0.25">
      <c r="B236" s="36" t="s">
        <v>93</v>
      </c>
      <c r="C236" s="14">
        <f>data!BN97</f>
        <v>3.1854387735617447E-2</v>
      </c>
      <c r="D236" s="42"/>
      <c r="I236" s="15"/>
    </row>
    <row r="237" spans="2:9" x14ac:dyDescent="0.25">
      <c r="B237" s="36" t="s">
        <v>96</v>
      </c>
      <c r="C237" s="55">
        <f>data!BZ97</f>
        <v>5.4669189771010922E-2</v>
      </c>
      <c r="D237" s="42"/>
      <c r="I237" s="15"/>
    </row>
    <row r="238" spans="2:9" x14ac:dyDescent="0.25">
      <c r="B238" s="36" t="s">
        <v>92</v>
      </c>
      <c r="C238" s="55">
        <f>data!BK97</f>
        <v>8.163323585853971E-2</v>
      </c>
      <c r="D238" s="42"/>
      <c r="I238" s="15"/>
    </row>
    <row r="239" spans="2:9" x14ac:dyDescent="0.25">
      <c r="B239" s="3" t="s">
        <v>94</v>
      </c>
      <c r="C239" s="14">
        <f>data!BT97</f>
        <v>8.7255104237683456E-2</v>
      </c>
      <c r="D239" s="42"/>
      <c r="I239" s="15"/>
    </row>
    <row r="240" spans="2:9" x14ac:dyDescent="0.25">
      <c r="B240" s="36" t="s">
        <v>90</v>
      </c>
      <c r="C240" s="55">
        <f>data!BE97</f>
        <v>0.11530969104635908</v>
      </c>
      <c r="D240" s="42"/>
      <c r="I240" s="15"/>
    </row>
    <row r="241" spans="2:9" x14ac:dyDescent="0.25">
      <c r="B241" s="36" t="s">
        <v>91</v>
      </c>
      <c r="C241" s="14">
        <f>data!BH97</f>
        <v>0.14239398262222799</v>
      </c>
      <c r="D241" s="42"/>
      <c r="I241" s="15"/>
    </row>
    <row r="242" spans="2:9" x14ac:dyDescent="0.25">
      <c r="B242" s="91" t="s">
        <v>95</v>
      </c>
      <c r="C242" s="40">
        <f>data!BW97</f>
        <v>0.22067674922851307</v>
      </c>
      <c r="D242" s="42"/>
      <c r="I242" s="15"/>
    </row>
    <row r="243" spans="2:9" x14ac:dyDescent="0.25">
      <c r="B243" s="3" t="s">
        <v>103</v>
      </c>
      <c r="C243" s="14">
        <f>data!J97</f>
        <v>2.5432000348372539E-2</v>
      </c>
      <c r="D243" s="42"/>
      <c r="I243" s="15"/>
    </row>
    <row r="244" spans="2:9" x14ac:dyDescent="0.25">
      <c r="B244" s="1" t="s">
        <v>124</v>
      </c>
      <c r="C244" s="14">
        <f>data!M97</f>
        <v>5.4940109309029699E-2</v>
      </c>
      <c r="D244" s="42"/>
      <c r="I244" s="15"/>
    </row>
    <row r="245" spans="2:9" x14ac:dyDescent="0.25">
      <c r="B245" s="3" t="s">
        <v>101</v>
      </c>
      <c r="C245" s="14">
        <f>data!D97</f>
        <v>5.5652111092227674E-2</v>
      </c>
      <c r="D245" s="42"/>
      <c r="I245" s="15"/>
    </row>
    <row r="246" spans="2:9" x14ac:dyDescent="0.25">
      <c r="B246" s="36" t="s">
        <v>102</v>
      </c>
      <c r="C246" s="14">
        <f>data!G97</f>
        <v>6.5131509593084544E-2</v>
      </c>
      <c r="D246" s="42"/>
      <c r="I246" s="15"/>
    </row>
    <row r="247" spans="2:9" x14ac:dyDescent="0.25">
      <c r="B247" s="1" t="s">
        <v>125</v>
      </c>
      <c r="C247" s="14">
        <f>data!P97</f>
        <v>0.39297040430329022</v>
      </c>
      <c r="D247" s="42"/>
      <c r="I247" s="15"/>
    </row>
    <row r="248" spans="2:9" x14ac:dyDescent="0.25">
      <c r="B248" s="64" t="s">
        <v>20</v>
      </c>
      <c r="C248" s="44">
        <f>data!AX97</f>
        <v>2.1937296839713169E-2</v>
      </c>
      <c r="D248" s="42"/>
      <c r="I248" s="15"/>
    </row>
    <row r="249" spans="2:9" x14ac:dyDescent="0.25">
      <c r="B249" s="3" t="s">
        <v>28</v>
      </c>
      <c r="C249" s="14">
        <f>data!AU97</f>
        <v>0.26486655610422594</v>
      </c>
      <c r="I249" s="15"/>
    </row>
    <row r="250" spans="2:9" x14ac:dyDescent="0.25">
      <c r="B250" s="3" t="s">
        <v>31</v>
      </c>
      <c r="C250" s="14">
        <f>data!AR97</f>
        <v>0.26759996961686022</v>
      </c>
      <c r="I250" s="15"/>
    </row>
    <row r="251" spans="2:9" x14ac:dyDescent="0.25">
      <c r="I251" s="15"/>
    </row>
    <row r="252" spans="2:9" x14ac:dyDescent="0.25">
      <c r="I252" s="15"/>
    </row>
    <row r="253" spans="2:9" x14ac:dyDescent="0.25">
      <c r="I253" s="15"/>
    </row>
    <row r="254" spans="2:9" x14ac:dyDescent="0.25">
      <c r="I254" s="15"/>
    </row>
    <row r="255" spans="2:9" x14ac:dyDescent="0.25">
      <c r="I255" s="15"/>
    </row>
    <row r="256" spans="2:9" x14ac:dyDescent="0.25">
      <c r="I256" s="15"/>
    </row>
    <row r="257" spans="9:9" x14ac:dyDescent="0.25">
      <c r="I257" s="15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CC100"/>
  <sheetViews>
    <sheetView zoomScale="85" zoomScaleNormal="85" workbookViewId="0">
      <pane xSplit="2" ySplit="2" topLeftCell="AT3" activePane="bottomRight" state="frozen"/>
      <selection pane="topRight" activeCell="C1" sqref="C1"/>
      <selection pane="bottomLeft" activeCell="A3" sqref="A3"/>
      <selection pane="bottomRight" activeCell="BA97" sqref="BA97"/>
    </sheetView>
  </sheetViews>
  <sheetFormatPr defaultColWidth="9.140625" defaultRowHeight="12.75" outlineLevelRow="1" x14ac:dyDescent="0.25"/>
  <cols>
    <col min="1" max="1" width="9.140625" style="1"/>
    <col min="2" max="2" width="25.7109375" style="1" customWidth="1"/>
    <col min="3" max="4" width="11.7109375" style="1" customWidth="1"/>
    <col min="5" max="5" width="10.7109375" style="1" customWidth="1"/>
    <col min="6" max="7" width="11.7109375" style="1" customWidth="1"/>
    <col min="8" max="52" width="10.7109375" style="1" customWidth="1"/>
    <col min="53" max="53" width="10.7109375" style="2" customWidth="1"/>
    <col min="54" max="55" width="9.140625" style="2" customWidth="1"/>
    <col min="56" max="57" width="10.7109375" style="1" customWidth="1"/>
    <col min="58" max="16384" width="9.140625" style="36"/>
  </cols>
  <sheetData>
    <row r="1" spans="1:79" x14ac:dyDescent="0.25">
      <c r="U1" s="1">
        <v>68.84</v>
      </c>
      <c r="V1" s="1">
        <v>69.849999999999994</v>
      </c>
      <c r="AR1" s="54">
        <v>69.470600000000005</v>
      </c>
      <c r="AU1" s="1">
        <v>69.470600000000005</v>
      </c>
      <c r="AX1" s="1">
        <v>69.470600000000005</v>
      </c>
      <c r="BA1" s="2">
        <v>69.470600000000005</v>
      </c>
      <c r="BD1" s="7">
        <v>484.1</v>
      </c>
      <c r="BE1" s="7">
        <v>483.75</v>
      </c>
    </row>
    <row r="2" spans="1:79" ht="14.45" customHeight="1" x14ac:dyDescent="0.2">
      <c r="B2" s="16"/>
      <c r="C2" s="99" t="s">
        <v>101</v>
      </c>
      <c r="D2" s="99"/>
      <c r="F2" s="99" t="s">
        <v>102</v>
      </c>
      <c r="G2" s="99"/>
      <c r="I2" s="99" t="s">
        <v>103</v>
      </c>
      <c r="J2" s="99"/>
      <c r="L2" s="99" t="s">
        <v>121</v>
      </c>
      <c r="M2" s="99"/>
      <c r="O2" s="99" t="s">
        <v>122</v>
      </c>
      <c r="P2" s="99"/>
      <c r="R2" s="100" t="s">
        <v>13</v>
      </c>
      <c r="S2" s="100"/>
      <c r="T2" s="17"/>
      <c r="U2" s="100" t="s">
        <v>14</v>
      </c>
      <c r="V2" s="100"/>
      <c r="W2" s="17"/>
      <c r="X2" s="100" t="s">
        <v>15</v>
      </c>
      <c r="Y2" s="100"/>
      <c r="Z2" s="16"/>
      <c r="AA2" s="100" t="s">
        <v>41</v>
      </c>
      <c r="AB2" s="100"/>
      <c r="AC2" s="16"/>
      <c r="AD2" s="100" t="s">
        <v>50</v>
      </c>
      <c r="AE2" s="100"/>
      <c r="AF2" s="16"/>
      <c r="AG2" s="100" t="s">
        <v>40</v>
      </c>
      <c r="AH2" s="100"/>
      <c r="AI2" s="16"/>
      <c r="AJ2" s="100" t="s">
        <v>39</v>
      </c>
      <c r="AK2" s="100"/>
      <c r="AL2" s="16"/>
      <c r="AM2" s="101" t="s">
        <v>68</v>
      </c>
      <c r="AN2" s="101"/>
      <c r="AO2" s="16"/>
      <c r="AP2" s="16"/>
      <c r="AQ2" s="100" t="s">
        <v>31</v>
      </c>
      <c r="AR2" s="100"/>
      <c r="AS2" s="41"/>
      <c r="AT2" s="100" t="s">
        <v>28</v>
      </c>
      <c r="AU2" s="100"/>
      <c r="AV2" s="41"/>
      <c r="AW2" s="100" t="s">
        <v>20</v>
      </c>
      <c r="AX2" s="100"/>
      <c r="AY2" s="41"/>
      <c r="AZ2" s="100" t="s">
        <v>34</v>
      </c>
      <c r="BA2" s="100"/>
      <c r="BD2" s="100" t="s">
        <v>83</v>
      </c>
      <c r="BE2" s="100"/>
      <c r="BG2" s="100" t="s">
        <v>84</v>
      </c>
      <c r="BH2" s="100"/>
      <c r="BJ2" s="100" t="s">
        <v>85</v>
      </c>
      <c r="BK2" s="100"/>
      <c r="BM2" s="100" t="s">
        <v>89</v>
      </c>
      <c r="BN2" s="100"/>
      <c r="BP2" s="100" t="s">
        <v>88</v>
      </c>
      <c r="BQ2" s="100"/>
      <c r="BS2" s="100" t="s">
        <v>82</v>
      </c>
      <c r="BT2" s="100"/>
      <c r="BV2" s="100" t="s">
        <v>86</v>
      </c>
      <c r="BW2" s="100"/>
      <c r="BY2" s="100" t="s">
        <v>87</v>
      </c>
      <c r="BZ2" s="100"/>
    </row>
    <row r="3" spans="1:79" s="37" customFormat="1" x14ac:dyDescent="0.2">
      <c r="A3" s="34"/>
      <c r="B3" s="31"/>
      <c r="C3" s="32">
        <v>2017</v>
      </c>
      <c r="D3" s="32">
        <v>2018</v>
      </c>
      <c r="E3" s="32"/>
      <c r="F3" s="32">
        <v>2017</v>
      </c>
      <c r="G3" s="32">
        <v>2018</v>
      </c>
      <c r="H3" s="32"/>
      <c r="I3" s="32">
        <v>2017</v>
      </c>
      <c r="J3" s="32">
        <v>2018</v>
      </c>
      <c r="K3" s="32"/>
      <c r="L3" s="32"/>
      <c r="M3" s="32"/>
      <c r="N3" s="32"/>
      <c r="O3" s="32"/>
      <c r="P3" s="32"/>
      <c r="Q3" s="32"/>
      <c r="R3" s="32">
        <v>2017</v>
      </c>
      <c r="S3" s="32">
        <v>2018</v>
      </c>
      <c r="T3" s="32"/>
      <c r="U3" s="32">
        <v>2017</v>
      </c>
      <c r="V3" s="32">
        <v>2018</v>
      </c>
      <c r="W3" s="32"/>
      <c r="X3" s="32">
        <v>2017</v>
      </c>
      <c r="Y3" s="32">
        <v>2018</v>
      </c>
      <c r="Z3" s="31"/>
      <c r="AA3" s="32">
        <v>2017</v>
      </c>
      <c r="AB3" s="32">
        <v>2018</v>
      </c>
      <c r="AC3" s="31"/>
      <c r="AD3" s="32"/>
      <c r="AE3" s="32"/>
      <c r="AF3" s="31"/>
      <c r="AG3" s="32">
        <v>2017</v>
      </c>
      <c r="AH3" s="32">
        <v>2018</v>
      </c>
      <c r="AI3" s="31"/>
      <c r="AJ3" s="32">
        <v>2017</v>
      </c>
      <c r="AK3" s="32">
        <v>2018</v>
      </c>
      <c r="AL3" s="31"/>
      <c r="AM3" s="32">
        <v>2017</v>
      </c>
      <c r="AN3" s="32">
        <v>2018</v>
      </c>
      <c r="AO3" s="31"/>
      <c r="AP3" s="31"/>
      <c r="AQ3" s="32">
        <v>2017</v>
      </c>
      <c r="AR3" s="32">
        <v>2018</v>
      </c>
      <c r="AS3" s="32"/>
      <c r="AT3" s="32">
        <v>2017</v>
      </c>
      <c r="AU3" s="32">
        <v>2018</v>
      </c>
      <c r="AV3" s="32"/>
      <c r="AW3" s="32">
        <v>2017</v>
      </c>
      <c r="AX3" s="32">
        <v>2018</v>
      </c>
      <c r="AY3" s="32"/>
      <c r="AZ3" s="32">
        <v>2017</v>
      </c>
      <c r="BA3" s="32">
        <v>2018</v>
      </c>
      <c r="BB3" s="33"/>
      <c r="BC3" s="33"/>
      <c r="BD3" s="32">
        <v>2017</v>
      </c>
      <c r="BE3" s="32">
        <v>2018</v>
      </c>
      <c r="BG3" s="32">
        <v>2017</v>
      </c>
      <c r="BH3" s="32">
        <v>2018</v>
      </c>
      <c r="BJ3" s="32">
        <v>2017</v>
      </c>
      <c r="BK3" s="32">
        <v>2018</v>
      </c>
      <c r="BM3" s="32">
        <v>2017</v>
      </c>
      <c r="BN3" s="32">
        <v>2018</v>
      </c>
      <c r="BP3" s="32">
        <v>2017</v>
      </c>
      <c r="BQ3" s="32">
        <v>2018</v>
      </c>
      <c r="BS3" s="32">
        <v>2017</v>
      </c>
      <c r="BT3" s="32">
        <v>2018</v>
      </c>
      <c r="BV3" s="32">
        <v>2017</v>
      </c>
      <c r="BW3" s="32">
        <v>2018</v>
      </c>
      <c r="BY3" s="32">
        <v>2017</v>
      </c>
      <c r="BZ3" s="32">
        <v>2018</v>
      </c>
    </row>
    <row r="4" spans="1:79" x14ac:dyDescent="0.2">
      <c r="A4" s="1" t="s">
        <v>80</v>
      </c>
      <c r="B4" s="20" t="s">
        <v>60</v>
      </c>
      <c r="C4" s="4"/>
      <c r="D4" s="4"/>
      <c r="E4" s="12"/>
      <c r="F4" s="12"/>
      <c r="G4" s="12"/>
      <c r="H4" s="21"/>
      <c r="I4" s="12"/>
      <c r="J4" s="12"/>
      <c r="K4" s="21"/>
      <c r="L4" s="12"/>
      <c r="M4" s="12"/>
      <c r="N4" s="21"/>
      <c r="O4" s="12"/>
      <c r="P4" s="12"/>
      <c r="Q4" s="21"/>
      <c r="R4" s="21"/>
      <c r="S4" s="12">
        <f>S5/$V$1</f>
        <v>449687.20114531141</v>
      </c>
      <c r="T4" s="21"/>
      <c r="U4" s="21"/>
      <c r="V4" s="12">
        <f>V5/$V$1</f>
        <v>388389</v>
      </c>
      <c r="W4" s="21"/>
      <c r="X4" s="21"/>
      <c r="Y4" s="12">
        <f>Y5/$V$1</f>
        <v>284867.0150322119</v>
      </c>
      <c r="Z4" s="20"/>
      <c r="AA4" s="21"/>
      <c r="AB4" s="12">
        <f>AB5/$V$1</f>
        <v>121016.29205440231</v>
      </c>
      <c r="AC4" s="20"/>
      <c r="AD4" s="21"/>
      <c r="AE4" s="12">
        <f>AE5/$V$1</f>
        <v>114508.79026485326</v>
      </c>
      <c r="AF4" s="20"/>
      <c r="AG4" s="21"/>
      <c r="AH4" s="12">
        <f>AH5/$V$1</f>
        <v>109018.03865425913</v>
      </c>
      <c r="AI4" s="20"/>
      <c r="AJ4" s="21"/>
      <c r="AK4" s="12">
        <f>AK5/$V$1</f>
        <v>42591.367215461709</v>
      </c>
      <c r="AL4" s="20"/>
      <c r="AM4" s="21"/>
      <c r="AN4" s="12">
        <f>AN5/$V$1</f>
        <v>15943.979957050824</v>
      </c>
      <c r="AO4" s="20"/>
      <c r="AP4" s="20"/>
      <c r="AQ4" s="20"/>
      <c r="AR4" s="12">
        <f>AR5*1000/AR1</f>
        <v>30889714.497931495</v>
      </c>
      <c r="AS4" s="21"/>
      <c r="AT4" s="21"/>
      <c r="AU4" s="12">
        <f>AU5/AU1</f>
        <v>9693.359334740162</v>
      </c>
      <c r="AV4" s="21"/>
      <c r="AW4" s="4"/>
      <c r="AX4" s="12">
        <f>AX5/AX1</f>
        <v>1614583.046641313</v>
      </c>
      <c r="AY4" s="21"/>
      <c r="AZ4" s="21"/>
      <c r="BA4" s="12">
        <f>BA5/BA1</f>
        <v>304843.2142517842</v>
      </c>
      <c r="BD4" s="12">
        <f>BD5/$BD$1</f>
        <v>1399.9628175996695</v>
      </c>
      <c r="BE4" s="12">
        <f>BE5/$BE$1</f>
        <v>1611.9090439276486</v>
      </c>
      <c r="BG4" s="12">
        <f>BG5/$BD$1</f>
        <v>1173.5550506093782</v>
      </c>
      <c r="BH4" s="12">
        <f>BH5/$BE$1</f>
        <v>1402.7245478036175</v>
      </c>
      <c r="BJ4" s="12">
        <f>BJ5/$BD$1</f>
        <v>642.26606073125379</v>
      </c>
      <c r="BK4" s="12">
        <f>BK5/$BE$1</f>
        <v>723.87803617571058</v>
      </c>
      <c r="BM4" s="12">
        <f>BM5/$BD$1</f>
        <v>573.93513736831233</v>
      </c>
      <c r="BN4" s="12">
        <f>BN5/$BE$1</f>
        <v>606.24702842377258</v>
      </c>
      <c r="BP4" s="12">
        <f>BP5/$BD$1</f>
        <v>522.07395166287949</v>
      </c>
      <c r="BQ4" s="12">
        <f>BQ5/$BE$1</f>
        <v>581.13695090439273</v>
      </c>
      <c r="BS4" s="12">
        <f>BS5/$BD$1</f>
        <v>438.89485643462092</v>
      </c>
      <c r="BT4" s="12">
        <f>BT5/$BE$1</f>
        <v>460.88268733850128</v>
      </c>
      <c r="BV4" s="12">
        <f>BV5/$BD$1</f>
        <v>394.1396405701301</v>
      </c>
      <c r="BW4" s="12">
        <f>BW5/$BE$1</f>
        <v>459.5307493540052</v>
      </c>
      <c r="BY4" s="12">
        <f>BY5/$BD$1</f>
        <v>334.59615781863249</v>
      </c>
      <c r="BZ4" s="12">
        <f>BZ5/$BE$1</f>
        <v>476.28733850129197</v>
      </c>
    </row>
    <row r="5" spans="1:79" x14ac:dyDescent="0.2">
      <c r="A5" s="1" t="s">
        <v>80</v>
      </c>
      <c r="B5" s="20" t="s">
        <v>36</v>
      </c>
      <c r="C5" s="4">
        <v>1444640000</v>
      </c>
      <c r="D5" s="4">
        <v>1688723000</v>
      </c>
      <c r="E5" s="39">
        <f>D5/C5-1</f>
        <v>0.16895766419315539</v>
      </c>
      <c r="F5" s="4">
        <v>1330498000</v>
      </c>
      <c r="G5" s="4">
        <v>1517760000</v>
      </c>
      <c r="H5" s="39">
        <f>G5/F5-1</f>
        <v>0.14074579593505598</v>
      </c>
      <c r="I5" s="4">
        <v>115195221</v>
      </c>
      <c r="J5" s="4">
        <v>130435080</v>
      </c>
      <c r="K5" s="39">
        <f>J5/I5-1</f>
        <v>0.1322959309223426</v>
      </c>
      <c r="L5" s="4">
        <v>29903266</v>
      </c>
      <c r="M5" s="4">
        <v>42010619</v>
      </c>
      <c r="N5" s="39">
        <f>M5/L5-1</f>
        <v>0.40488396819263817</v>
      </c>
      <c r="O5" s="4">
        <v>96796783</v>
      </c>
      <c r="P5" s="4">
        <v>129203277</v>
      </c>
      <c r="Q5" s="39">
        <f>P5/O5-1</f>
        <v>0.33478895677762344</v>
      </c>
      <c r="R5" s="4">
        <v>26334411</v>
      </c>
      <c r="S5" s="4">
        <v>31410651</v>
      </c>
      <c r="T5" s="39">
        <f>S5/R5-1</f>
        <v>0.19276071904551051</v>
      </c>
      <c r="U5" s="4">
        <f>396282*U1</f>
        <v>27280052.880000003</v>
      </c>
      <c r="V5" s="4">
        <f>388389*V1</f>
        <v>27128971.649999999</v>
      </c>
      <c r="W5" s="39">
        <f>V5/U5-1</f>
        <v>-5.5381575198766297E-3</v>
      </c>
      <c r="X5" s="4">
        <f>17861827</f>
        <v>17861827</v>
      </c>
      <c r="Y5" s="4">
        <v>19897961</v>
      </c>
      <c r="Z5" s="39">
        <f>Y5/X5-1</f>
        <v>0.11399360211024323</v>
      </c>
      <c r="AA5" s="4">
        <v>6665027</v>
      </c>
      <c r="AB5" s="4">
        <v>8452988</v>
      </c>
      <c r="AC5" s="39">
        <f>AB5/AA5-1</f>
        <v>0.26826012857862391</v>
      </c>
      <c r="AD5" s="4">
        <v>7346114</v>
      </c>
      <c r="AE5" s="4">
        <v>7998439</v>
      </c>
      <c r="AF5" s="39">
        <f>AE5/AD5-1</f>
        <v>8.8798649190578782E-2</v>
      </c>
      <c r="AG5" s="4">
        <v>7327764</v>
      </c>
      <c r="AH5" s="4">
        <f>7614910</f>
        <v>7614910</v>
      </c>
      <c r="AI5" s="39">
        <f>AH5/AG5-1</f>
        <v>3.9186032737953846E-2</v>
      </c>
      <c r="AJ5" s="4">
        <v>2238843</v>
      </c>
      <c r="AK5" s="4">
        <f>2975007</f>
        <v>2975007</v>
      </c>
      <c r="AL5" s="39">
        <f>AK5/AJ5-1</f>
        <v>0.32881448140847747</v>
      </c>
      <c r="AM5" s="4">
        <v>951295</v>
      </c>
      <c r="AN5" s="4">
        <v>1113687</v>
      </c>
      <c r="AO5" s="39">
        <f>AN5/AM5-1</f>
        <v>0.17070624779905286</v>
      </c>
      <c r="AP5" s="39"/>
      <c r="AQ5" s="20">
        <v>1888191</v>
      </c>
      <c r="AR5" s="4">
        <v>2145927</v>
      </c>
      <c r="AS5" s="39">
        <f>AR5/AQ5-1</f>
        <v>0.13649890291819</v>
      </c>
      <c r="AT5" s="4">
        <f>606859371/1000</f>
        <v>606859.37100000004</v>
      </c>
      <c r="AU5" s="4">
        <f>673403489/1000</f>
        <v>673403.48899999994</v>
      </c>
      <c r="AV5" s="39">
        <f>AU5/AT5-1</f>
        <v>0.10965327583282858</v>
      </c>
      <c r="AW5" s="47">
        <f>102616502</f>
        <v>102616502</v>
      </c>
      <c r="AX5" s="47">
        <f>112166053</f>
        <v>112166053</v>
      </c>
      <c r="AY5" s="39">
        <f>AX5/AW5-1</f>
        <v>9.3060578112475589E-2</v>
      </c>
      <c r="AZ5" s="47">
        <v>19859969</v>
      </c>
      <c r="BA5" s="47">
        <v>21177641</v>
      </c>
      <c r="BB5" s="39">
        <f>BA5/AZ5-1</f>
        <v>6.6348139818345198E-2</v>
      </c>
      <c r="BC5" s="39"/>
      <c r="BD5" s="4">
        <v>677722</v>
      </c>
      <c r="BE5" s="4">
        <v>779761</v>
      </c>
      <c r="BF5" s="39">
        <f>BE5/BD5-1</f>
        <v>0.1505617347525976</v>
      </c>
      <c r="BG5" s="36">
        <v>568118</v>
      </c>
      <c r="BH5" s="36">
        <v>678568</v>
      </c>
      <c r="BI5" s="39">
        <f>BH5/BG5-1</f>
        <v>0.19441383656212263</v>
      </c>
      <c r="BJ5" s="36">
        <v>310921</v>
      </c>
      <c r="BK5" s="36">
        <v>350176</v>
      </c>
      <c r="BL5" s="39">
        <f>BK5/BJ5-1</f>
        <v>0.1262539358872512</v>
      </c>
      <c r="BM5" s="36">
        <v>277842</v>
      </c>
      <c r="BN5" s="36">
        <v>293272</v>
      </c>
      <c r="BO5" s="39">
        <f>BN5/BM5-1</f>
        <v>5.5535160270945294E-2</v>
      </c>
      <c r="BP5" s="36">
        <v>252736</v>
      </c>
      <c r="BQ5" s="36">
        <v>281125</v>
      </c>
      <c r="BR5" s="39">
        <f>BQ5/BP5-1</f>
        <v>0.11232669663205885</v>
      </c>
      <c r="BS5" s="36">
        <v>212469</v>
      </c>
      <c r="BT5" s="36">
        <v>222952</v>
      </c>
      <c r="BU5" s="39">
        <f>BT5/BS5-1</f>
        <v>4.9338962389807506E-2</v>
      </c>
      <c r="BV5" s="36">
        <v>190803</v>
      </c>
      <c r="BW5" s="36">
        <v>222298</v>
      </c>
      <c r="BX5" s="39">
        <f>BW5/BV5-1</f>
        <v>0.16506553880180075</v>
      </c>
      <c r="BY5" s="36">
        <v>161978</v>
      </c>
      <c r="BZ5" s="36">
        <v>230404</v>
      </c>
      <c r="CA5" s="39">
        <f>BZ5/BY5-1</f>
        <v>0.42244008445591374</v>
      </c>
    </row>
    <row r="6" spans="1:79" x14ac:dyDescent="0.2">
      <c r="A6" s="1" t="s">
        <v>80</v>
      </c>
      <c r="B6" s="1" t="s">
        <v>24</v>
      </c>
      <c r="C6" s="4">
        <v>724634000</v>
      </c>
      <c r="D6" s="4">
        <v>762798000</v>
      </c>
      <c r="E6" s="39">
        <f t="shared" ref="E6:E7" si="0">D6/C6-1</f>
        <v>5.2666587546264632E-2</v>
      </c>
      <c r="F6" s="4">
        <v>945099000</v>
      </c>
      <c r="G6" s="4">
        <v>1089124000</v>
      </c>
      <c r="H6" s="39">
        <f t="shared" ref="H6:H7" si="1">G6/F6-1</f>
        <v>0.15239144258961224</v>
      </c>
      <c r="I6" s="4">
        <v>72946990</v>
      </c>
      <c r="J6" s="4">
        <v>77002659</v>
      </c>
      <c r="K6" s="39">
        <f t="shared" ref="K6:K7" si="2">J6/I6-1</f>
        <v>5.5597482500648665E-2</v>
      </c>
      <c r="L6" s="4">
        <v>11660935</v>
      </c>
      <c r="M6" s="4">
        <v>10252321</v>
      </c>
      <c r="N6" s="39">
        <f t="shared" ref="N6:N7" si="3">M6/L6-1</f>
        <v>-0.12079768903608501</v>
      </c>
      <c r="O6" s="4">
        <v>88493626</v>
      </c>
      <c r="P6" s="4">
        <v>120381752</v>
      </c>
      <c r="Q6" s="39">
        <f t="shared" ref="Q6:Q7" si="4">P6/O6-1</f>
        <v>0.36034376080374431</v>
      </c>
      <c r="R6" s="10">
        <v>16936307</v>
      </c>
      <c r="S6" s="10">
        <v>21521505</v>
      </c>
      <c r="T6" s="39">
        <f t="shared" ref="T6:T7" si="5">S6/R6-1</f>
        <v>0.27073186616184985</v>
      </c>
      <c r="U6" s="10">
        <f xml:space="preserve"> 137455 * U1</f>
        <v>9462402.2000000011</v>
      </c>
      <c r="V6" s="4">
        <f>177491*V1</f>
        <v>12397746.35</v>
      </c>
      <c r="W6" s="39">
        <f t="shared" ref="W6:W7" si="6">V6/U6-1</f>
        <v>0.31021130659611984</v>
      </c>
      <c r="X6" s="10">
        <v>6903317</v>
      </c>
      <c r="Y6" s="4">
        <v>8301998</v>
      </c>
      <c r="Z6" s="39">
        <f t="shared" ref="Z6:Z7" si="7">Y6/X6-1</f>
        <v>0.20260999168950233</v>
      </c>
      <c r="AA6" s="10">
        <v>5585516</v>
      </c>
      <c r="AB6" s="10">
        <v>6753740</v>
      </c>
      <c r="AC6" s="39">
        <f t="shared" ref="AC6:AC7" si="8">AB6/AA6-1</f>
        <v>0.20915238627908317</v>
      </c>
      <c r="AD6" s="10">
        <f xml:space="preserve"> AD7 + 166287</f>
        <v>6195299</v>
      </c>
      <c r="AE6" s="10">
        <f xml:space="preserve"> AE7 + 101365</f>
        <v>6945730</v>
      </c>
      <c r="AF6" s="39">
        <f t="shared" ref="AF6:AF7" si="9">AE6/AD6-1</f>
        <v>0.12112910127501508</v>
      </c>
      <c r="AG6" s="10">
        <f>AG7+270655</f>
        <v>5559945</v>
      </c>
      <c r="AH6" s="10">
        <f xml:space="preserve"> AH7 + 228303</f>
        <v>5732282</v>
      </c>
      <c r="AI6" s="39">
        <f t="shared" ref="AI6:AI7" si="10">AH6/AG6-1</f>
        <v>3.0996169926141404E-2</v>
      </c>
      <c r="AJ6" s="10">
        <v>1201891</v>
      </c>
      <c r="AK6" s="10">
        <v>1691581</v>
      </c>
      <c r="AL6" s="39">
        <f t="shared" ref="AL6:AL7" si="11">AK6/AJ6-1</f>
        <v>0.40743295357066489</v>
      </c>
      <c r="AM6" s="1">
        <v>863977</v>
      </c>
      <c r="AN6" s="1">
        <v>1018364</v>
      </c>
      <c r="AO6" s="39">
        <f t="shared" ref="AO6:AO7" si="12">AN6/AM6-1</f>
        <v>0.1786934142922787</v>
      </c>
      <c r="AP6" s="39"/>
      <c r="AQ6" s="1">
        <f>818816+0</f>
        <v>818816</v>
      </c>
      <c r="AR6" s="10">
        <f>676748+63383</f>
        <v>740131</v>
      </c>
      <c r="AS6" s="39">
        <f t="shared" ref="AS6:AS7" si="13">AR6/AQ6-1</f>
        <v>-9.6096070423636104E-2</v>
      </c>
      <c r="AT6" s="10">
        <f>(318215910+39494532)/1000</f>
        <v>357710.44199999998</v>
      </c>
      <c r="AU6" s="4">
        <f>(338783586+36500280)/1000</f>
        <v>375283.86599999998</v>
      </c>
      <c r="AV6" s="39">
        <f t="shared" ref="AV6:AV7" si="14">AU6/AT6-1</f>
        <v>4.912751191087672E-2</v>
      </c>
      <c r="AW6" s="47">
        <f>86050091</f>
        <v>86050091</v>
      </c>
      <c r="AX6" s="47">
        <f>94956506</f>
        <v>94956506</v>
      </c>
      <c r="AY6" s="39">
        <f t="shared" ref="AY6:AY7" si="15">AX6/AW6-1</f>
        <v>0.1035026796194789</v>
      </c>
      <c r="AZ6" s="47">
        <v>10471666</v>
      </c>
      <c r="BA6" s="47">
        <v>10966503</v>
      </c>
      <c r="BB6" s="39">
        <f t="shared" ref="BB6:BB7" si="16">BA6/AZ6-1</f>
        <v>4.7254849419376077E-2</v>
      </c>
      <c r="BC6" s="39"/>
      <c r="BD6" s="4">
        <v>491246</v>
      </c>
      <c r="BE6" s="4">
        <v>563896</v>
      </c>
      <c r="BF6" s="39">
        <f t="shared" ref="BF6:BF7" si="17">BE6/BD6-1</f>
        <v>0.14788924489970401</v>
      </c>
      <c r="BG6" s="36">
        <v>397040</v>
      </c>
      <c r="BH6" s="36">
        <v>472090</v>
      </c>
      <c r="BI6" s="39">
        <f t="shared" ref="BI6:BI7" si="18">BH6/BG6-1</f>
        <v>0.18902377594197062</v>
      </c>
      <c r="BJ6" s="36">
        <v>206653</v>
      </c>
      <c r="BK6" s="36">
        <v>227579</v>
      </c>
      <c r="BL6" s="39">
        <f t="shared" ref="BL6:BL7" si="19">BK6/BJ6-1</f>
        <v>0.10126153503699431</v>
      </c>
      <c r="BM6" s="36">
        <v>178287</v>
      </c>
      <c r="BN6" s="36">
        <v>212170</v>
      </c>
      <c r="BO6" s="39">
        <f t="shared" ref="BO6:BO7" si="20">BN6/BM6-1</f>
        <v>0.19004750767021705</v>
      </c>
      <c r="BP6" s="36">
        <v>170031</v>
      </c>
      <c r="BQ6" s="36">
        <v>200641</v>
      </c>
      <c r="BR6" s="39">
        <f t="shared" ref="BR6:BR7" si="21">BQ6/BP6-1</f>
        <v>0.18002599525968788</v>
      </c>
      <c r="BS6" s="36">
        <v>121200</v>
      </c>
      <c r="BT6" s="36">
        <v>122546</v>
      </c>
      <c r="BU6" s="39">
        <f t="shared" ref="BU6:BU7" si="22">BT6/BS6-1</f>
        <v>1.1105610561056078E-2</v>
      </c>
      <c r="BV6" s="36">
        <v>105822</v>
      </c>
      <c r="BW6" s="36">
        <v>135233</v>
      </c>
      <c r="BX6" s="39">
        <f t="shared" ref="BX6:BX7" si="23">BW6/BV6-1</f>
        <v>0.27792897507134628</v>
      </c>
      <c r="BY6" s="36">
        <v>63438</v>
      </c>
      <c r="BZ6" s="36">
        <v>75401</v>
      </c>
      <c r="CA6" s="39">
        <f t="shared" ref="CA6:CA7" si="24">BZ6/BY6-1</f>
        <v>0.18857782401715051</v>
      </c>
    </row>
    <row r="7" spans="1:79" x14ac:dyDescent="0.2">
      <c r="A7" s="1" t="s">
        <v>80</v>
      </c>
      <c r="B7" s="20" t="s">
        <v>42</v>
      </c>
      <c r="C7" s="4">
        <v>671851000</v>
      </c>
      <c r="D7" s="4">
        <v>689645000</v>
      </c>
      <c r="E7" s="39">
        <f t="shared" si="0"/>
        <v>2.6485039093489426E-2</v>
      </c>
      <c r="F7" s="4">
        <v>831248000</v>
      </c>
      <c r="G7" s="4">
        <v>967491000</v>
      </c>
      <c r="H7" s="39">
        <f t="shared" si="1"/>
        <v>0.16390174773352828</v>
      </c>
      <c r="I7" s="4">
        <v>71338934</v>
      </c>
      <c r="J7" s="4">
        <v>74604438</v>
      </c>
      <c r="K7" s="39">
        <f t="shared" si="2"/>
        <v>4.577449951803314E-2</v>
      </c>
      <c r="L7" s="4">
        <v>11262269</v>
      </c>
      <c r="M7" s="4">
        <v>9997279</v>
      </c>
      <c r="N7" s="39">
        <f t="shared" si="3"/>
        <v>-0.1123210607027767</v>
      </c>
      <c r="O7" s="4">
        <v>87264557</v>
      </c>
      <c r="P7" s="4">
        <v>117377065</v>
      </c>
      <c r="Q7" s="39">
        <f t="shared" si="4"/>
        <v>0.34507145896586633</v>
      </c>
      <c r="R7" s="4">
        <f>12824667+2589982</f>
        <v>15414649</v>
      </c>
      <c r="S7" s="4">
        <f>16638133+3014693</f>
        <v>19652826</v>
      </c>
      <c r="T7" s="39">
        <f t="shared" si="5"/>
        <v>0.27494476195987327</v>
      </c>
      <c r="U7" s="4">
        <f>(55641+71334)*U1</f>
        <v>8740959</v>
      </c>
      <c r="V7" s="4">
        <f>(78111+90517)*V1</f>
        <v>11778665.799999999</v>
      </c>
      <c r="W7" s="39">
        <f t="shared" si="6"/>
        <v>0.3475255747109669</v>
      </c>
      <c r="X7" s="4">
        <f>6746063</f>
        <v>6746063</v>
      </c>
      <c r="Y7" s="4">
        <f>8127260</f>
        <v>8127260</v>
      </c>
      <c r="Z7" s="39">
        <f t="shared" si="7"/>
        <v>0.20474119497549914</v>
      </c>
      <c r="AA7" s="4">
        <v>5337275</v>
      </c>
      <c r="AB7" s="4">
        <v>6567057</v>
      </c>
      <c r="AC7" s="39">
        <f t="shared" si="8"/>
        <v>0.23041383477523647</v>
      </c>
      <c r="AD7" s="4">
        <v>6029012</v>
      </c>
      <c r="AE7" s="4">
        <v>6844365</v>
      </c>
      <c r="AF7" s="39">
        <f t="shared" si="9"/>
        <v>0.13523824467425172</v>
      </c>
      <c r="AG7" s="4">
        <v>5289290</v>
      </c>
      <c r="AH7" s="4">
        <v>5503979</v>
      </c>
      <c r="AI7" s="39">
        <f t="shared" si="10"/>
        <v>4.0589379670995518E-2</v>
      </c>
      <c r="AJ7" s="4">
        <f>1139362</f>
        <v>1139362</v>
      </c>
      <c r="AK7" s="4">
        <f>1658583</f>
        <v>1658583</v>
      </c>
      <c r="AL7" s="39">
        <f t="shared" si="11"/>
        <v>0.4557120563964745</v>
      </c>
      <c r="AM7" s="10">
        <v>847947</v>
      </c>
      <c r="AN7" s="10">
        <v>999097</v>
      </c>
      <c r="AO7" s="39">
        <f t="shared" si="12"/>
        <v>0.17825406540738986</v>
      </c>
      <c r="AP7" s="39"/>
      <c r="AQ7" s="20">
        <v>768676</v>
      </c>
      <c r="AR7" s="4">
        <f>645662+63383</f>
        <v>709045</v>
      </c>
      <c r="AS7" s="39">
        <f t="shared" si="13"/>
        <v>-7.7576247990050473E-2</v>
      </c>
      <c r="AT7" s="10">
        <f>318215910/1000</f>
        <v>318215.90999999997</v>
      </c>
      <c r="AU7" s="4">
        <f>338783586/1000</f>
        <v>338783.58600000001</v>
      </c>
      <c r="AV7" s="39">
        <f t="shared" si="14"/>
        <v>6.4634342135815981E-2</v>
      </c>
      <c r="AW7" s="47">
        <f>80146601</f>
        <v>80146601</v>
      </c>
      <c r="AX7" s="47">
        <f>88022690</f>
        <v>88022690</v>
      </c>
      <c r="AY7" s="39">
        <f t="shared" si="15"/>
        <v>9.8271029609852123E-2</v>
      </c>
      <c r="AZ7" s="47">
        <v>9818803</v>
      </c>
      <c r="BA7" s="47">
        <v>10300229</v>
      </c>
      <c r="BB7" s="39">
        <f t="shared" si="16"/>
        <v>4.9031027509157665E-2</v>
      </c>
      <c r="BC7" s="39"/>
      <c r="BD7" s="4">
        <v>479641</v>
      </c>
      <c r="BE7" s="23">
        <v>547943</v>
      </c>
      <c r="BF7" s="39">
        <f t="shared" si="17"/>
        <v>0.14240233841560657</v>
      </c>
      <c r="BG7" s="36">
        <v>392012</v>
      </c>
      <c r="BH7" s="36">
        <v>462532</v>
      </c>
      <c r="BI7" s="39">
        <f t="shared" si="18"/>
        <v>0.17989245227186923</v>
      </c>
      <c r="BJ7" s="36">
        <v>190398</v>
      </c>
      <c r="BK7" s="36">
        <v>220145</v>
      </c>
      <c r="BL7" s="39">
        <f t="shared" si="19"/>
        <v>0.15623588483072304</v>
      </c>
      <c r="BM7" s="36">
        <v>173066</v>
      </c>
      <c r="BN7" s="36">
        <v>206924</v>
      </c>
      <c r="BO7" s="39">
        <f t="shared" si="20"/>
        <v>0.19563634682722197</v>
      </c>
      <c r="BP7" s="36">
        <v>165168</v>
      </c>
      <c r="BQ7" s="36">
        <v>196278</v>
      </c>
      <c r="BR7" s="39">
        <f t="shared" si="21"/>
        <v>0.18835367625690203</v>
      </c>
      <c r="BS7" s="36">
        <v>119167</v>
      </c>
      <c r="BT7" s="36">
        <v>120605</v>
      </c>
      <c r="BU7" s="39">
        <f t="shared" si="22"/>
        <v>1.2067099113009405E-2</v>
      </c>
      <c r="BV7" s="36">
        <v>104217</v>
      </c>
      <c r="BW7" s="36">
        <v>133440</v>
      </c>
      <c r="BX7" s="39">
        <f t="shared" si="23"/>
        <v>0.28040530815509945</v>
      </c>
      <c r="BY7" s="36">
        <v>61863</v>
      </c>
      <c r="BZ7" s="36">
        <v>74860</v>
      </c>
      <c r="CA7" s="39">
        <f t="shared" si="24"/>
        <v>0.21009327061409899</v>
      </c>
    </row>
    <row r="8" spans="1:79" x14ac:dyDescent="0.2">
      <c r="A8" s="1" t="s">
        <v>80</v>
      </c>
      <c r="B8" s="20" t="s">
        <v>37</v>
      </c>
      <c r="C8" s="4">
        <v>981225000</v>
      </c>
      <c r="D8" s="4">
        <v>1075628000</v>
      </c>
      <c r="E8" s="4"/>
      <c r="F8" s="4">
        <v>975289000</v>
      </c>
      <c r="G8" s="4">
        <v>1074530000</v>
      </c>
      <c r="H8" s="4"/>
      <c r="I8" s="4">
        <v>88304174</v>
      </c>
      <c r="J8" s="4">
        <v>100532184</v>
      </c>
      <c r="K8" s="4"/>
      <c r="L8" s="4">
        <v>11903377</v>
      </c>
      <c r="M8" s="4">
        <v>20035074</v>
      </c>
      <c r="N8" s="4"/>
      <c r="O8" s="97" t="s">
        <v>123</v>
      </c>
      <c r="P8" s="97" t="s">
        <v>123</v>
      </c>
      <c r="Q8" s="4"/>
      <c r="R8" s="4">
        <f>11750764</f>
        <v>11750764</v>
      </c>
      <c r="S8" s="4">
        <f>12935447</f>
        <v>12935447</v>
      </c>
      <c r="T8" s="24"/>
      <c r="U8" s="4">
        <f>(141446+136098)*U1</f>
        <v>19106128.960000001</v>
      </c>
      <c r="V8" s="4">
        <f>(123653+141768)*V1</f>
        <v>18539656.849999998</v>
      </c>
      <c r="W8" s="24"/>
      <c r="X8" s="4">
        <f>15445794</f>
        <v>15445794</v>
      </c>
      <c r="Y8" s="4">
        <f>16725821</f>
        <v>16725821</v>
      </c>
      <c r="Z8" s="25"/>
      <c r="AA8" s="4">
        <v>1124617</v>
      </c>
      <c r="AB8" s="4">
        <v>2370070</v>
      </c>
      <c r="AC8" s="25"/>
      <c r="AD8" s="4">
        <v>2810834</v>
      </c>
      <c r="AE8" s="4">
        <v>3730462</v>
      </c>
      <c r="AF8" s="25"/>
      <c r="AG8" s="4">
        <f>3143935</f>
        <v>3143935</v>
      </c>
      <c r="AH8" s="4">
        <f>3816646</f>
        <v>3816646</v>
      </c>
      <c r="AI8" s="25"/>
      <c r="AJ8" s="4">
        <f>1265247</f>
        <v>1265247</v>
      </c>
      <c r="AK8" s="4">
        <f>1653486</f>
        <v>1653486</v>
      </c>
      <c r="AL8" s="20"/>
      <c r="AM8" s="4">
        <v>0</v>
      </c>
      <c r="AN8" s="4">
        <v>0</v>
      </c>
      <c r="AO8" s="20"/>
      <c r="AP8" s="20"/>
      <c r="AQ8" s="20">
        <v>941724</v>
      </c>
      <c r="AR8" s="4">
        <v>1272175</v>
      </c>
      <c r="AS8" s="4"/>
      <c r="AT8" s="4">
        <f>352972148/1000</f>
        <v>352972.14799999999</v>
      </c>
      <c r="AU8" s="4">
        <f>406788833/1000</f>
        <v>406788.83299999998</v>
      </c>
      <c r="AV8" s="4"/>
      <c r="AW8" s="47">
        <f>87217936</f>
        <v>87217936</v>
      </c>
      <c r="AX8" s="47">
        <f>95238192</f>
        <v>95238192</v>
      </c>
      <c r="AY8" s="4"/>
      <c r="AZ8" s="47">
        <v>13842127</v>
      </c>
      <c r="BA8" s="47">
        <v>15353847</v>
      </c>
      <c r="BD8" s="10">
        <v>375171</v>
      </c>
      <c r="BE8" s="10">
        <v>399086</v>
      </c>
      <c r="BG8" s="36">
        <v>344969</v>
      </c>
      <c r="BH8" s="36">
        <v>367182</v>
      </c>
      <c r="BJ8" s="36">
        <v>166550</v>
      </c>
      <c r="BK8" s="36">
        <v>193866</v>
      </c>
      <c r="BM8" s="36">
        <v>140774</v>
      </c>
      <c r="BN8" s="36">
        <v>164378</v>
      </c>
      <c r="BP8" s="36">
        <v>173914</v>
      </c>
      <c r="BQ8" s="36">
        <v>185438</v>
      </c>
      <c r="BS8" s="36">
        <v>95812</v>
      </c>
      <c r="BT8" s="36">
        <v>77216</v>
      </c>
      <c r="BV8" s="36">
        <v>91704</v>
      </c>
      <c r="BW8" s="36">
        <v>95854</v>
      </c>
      <c r="BY8" s="36">
        <v>65106</v>
      </c>
      <c r="BZ8" s="36">
        <v>93895</v>
      </c>
    </row>
    <row r="9" spans="1:79" x14ac:dyDescent="0.25">
      <c r="A9" s="1" t="s">
        <v>80</v>
      </c>
      <c r="B9" s="1" t="s">
        <v>23</v>
      </c>
      <c r="C9" s="4">
        <v>194201000</v>
      </c>
      <c r="D9" s="4">
        <v>200639000</v>
      </c>
      <c r="E9" s="4"/>
      <c r="F9" s="4">
        <v>128883000</v>
      </c>
      <c r="G9" s="4">
        <v>107098000</v>
      </c>
      <c r="H9" s="4"/>
      <c r="I9" s="4">
        <v>13802381</v>
      </c>
      <c r="J9" s="4">
        <v>14152608</v>
      </c>
      <c r="K9" s="4"/>
      <c r="L9" s="4">
        <v>12708970</v>
      </c>
      <c r="M9" s="4">
        <v>13520022</v>
      </c>
      <c r="N9" s="4"/>
      <c r="O9" s="4">
        <v>20396579</v>
      </c>
      <c r="P9" s="4">
        <v>29247952</v>
      </c>
      <c r="Q9" s="4"/>
      <c r="R9" s="4">
        <v>4107857</v>
      </c>
      <c r="S9" s="4">
        <v>4924677.124591928</v>
      </c>
      <c r="T9" s="4"/>
      <c r="U9" s="4">
        <f>65834*U1</f>
        <v>4532012.5600000005</v>
      </c>
      <c r="V9" s="4">
        <f>72665*V1</f>
        <v>5075650.25</v>
      </c>
      <c r="W9" s="4"/>
      <c r="X9" s="4">
        <v>1867410</v>
      </c>
      <c r="Y9" s="4">
        <f>2319497</f>
        <v>2319497</v>
      </c>
      <c r="AA9" s="10">
        <v>1598264</v>
      </c>
      <c r="AB9" s="10">
        <v>2018375</v>
      </c>
      <c r="AD9" s="4">
        <v>1972140</v>
      </c>
      <c r="AE9" s="4">
        <v>2200923</v>
      </c>
      <c r="AG9" s="10">
        <v>984770</v>
      </c>
      <c r="AH9" s="10">
        <v>1026851</v>
      </c>
      <c r="AJ9" s="10">
        <v>508240</v>
      </c>
      <c r="AK9" s="10">
        <v>695092</v>
      </c>
      <c r="AM9" s="10">
        <v>420208</v>
      </c>
      <c r="AN9" s="10">
        <v>441339</v>
      </c>
      <c r="AQ9" s="1">
        <f>177589-40320</f>
        <v>137269</v>
      </c>
      <c r="AR9" s="10">
        <f>191173-46691</f>
        <v>144482</v>
      </c>
      <c r="AS9" s="10"/>
      <c r="AT9" s="10">
        <f>70910129/1000</f>
        <v>70910.129000000001</v>
      </c>
      <c r="AU9" s="4">
        <f>75653655/1000</f>
        <v>75653.654999999999</v>
      </c>
      <c r="AV9" s="10"/>
      <c r="AW9" s="47">
        <f>12640520</f>
        <v>12640520</v>
      </c>
      <c r="AX9" s="47">
        <f>13127646</f>
        <v>13127646</v>
      </c>
      <c r="AY9" s="10"/>
      <c r="AZ9" s="47">
        <v>4762977</v>
      </c>
      <c r="BA9" s="47">
        <v>4981953</v>
      </c>
      <c r="BD9" s="4">
        <v>69902</v>
      </c>
      <c r="BE9" s="4">
        <v>89772</v>
      </c>
      <c r="BG9" s="36">
        <v>66455</v>
      </c>
      <c r="BH9" s="36">
        <v>71219</v>
      </c>
      <c r="BJ9" s="36">
        <v>60304</v>
      </c>
      <c r="BK9" s="36">
        <v>64320</v>
      </c>
      <c r="BM9" s="36">
        <v>48243</v>
      </c>
      <c r="BN9" s="36">
        <v>51705</v>
      </c>
      <c r="BP9" s="36">
        <v>35976</v>
      </c>
      <c r="BQ9" s="36">
        <v>39099</v>
      </c>
      <c r="BS9" s="36">
        <v>35155</v>
      </c>
      <c r="BT9" s="36">
        <v>37073</v>
      </c>
      <c r="BV9" s="36">
        <v>29029</v>
      </c>
      <c r="BW9" s="36">
        <v>33537</v>
      </c>
      <c r="BY9" s="36">
        <v>36968</v>
      </c>
      <c r="BZ9" s="36">
        <v>42842</v>
      </c>
    </row>
    <row r="10" spans="1:79" x14ac:dyDescent="0.2">
      <c r="A10" s="1" t="s">
        <v>80</v>
      </c>
      <c r="B10" s="20" t="s">
        <v>43</v>
      </c>
      <c r="C10" s="4">
        <v>19751000</v>
      </c>
      <c r="D10" s="4">
        <v>29108000</v>
      </c>
      <c r="E10" s="4"/>
      <c r="F10" s="4">
        <v>28871000</v>
      </c>
      <c r="G10" s="4">
        <v>9169000</v>
      </c>
      <c r="H10" s="4"/>
      <c r="I10" s="4">
        <v>914183</v>
      </c>
      <c r="J10" s="4">
        <v>1419686</v>
      </c>
      <c r="K10" s="4"/>
      <c r="L10" s="4">
        <v>279428</v>
      </c>
      <c r="M10" s="4">
        <v>823686</v>
      </c>
      <c r="N10" s="4"/>
      <c r="O10" s="4">
        <v>5542527</v>
      </c>
      <c r="P10" s="4">
        <v>10148790</v>
      </c>
      <c r="Q10" s="4"/>
      <c r="R10" s="4">
        <v>605027</v>
      </c>
      <c r="S10" s="4">
        <v>841205</v>
      </c>
      <c r="T10" s="21"/>
      <c r="U10" s="4">
        <f xml:space="preserve"> 6326 * U1</f>
        <v>435481.84</v>
      </c>
      <c r="V10" s="4">
        <f>6431*V1</f>
        <v>449205.35</v>
      </c>
      <c r="W10" s="21"/>
      <c r="X10" s="4">
        <v>286136</v>
      </c>
      <c r="Y10" s="4">
        <v>478748</v>
      </c>
      <c r="Z10" s="20"/>
      <c r="AA10" s="10">
        <v>249340</v>
      </c>
      <c r="AB10" s="10">
        <v>355923</v>
      </c>
      <c r="AC10" s="20"/>
      <c r="AD10" s="4">
        <v>401121</v>
      </c>
      <c r="AE10" s="4">
        <v>463995</v>
      </c>
      <c r="AF10" s="20"/>
      <c r="AG10" s="4">
        <v>-27611</v>
      </c>
      <c r="AH10" s="4">
        <v>41341</v>
      </c>
      <c r="AI10" s="20"/>
      <c r="AJ10" s="4">
        <v>50136</v>
      </c>
      <c r="AK10" s="4">
        <v>44925</v>
      </c>
      <c r="AL10" s="20"/>
      <c r="AM10" s="4">
        <v>12630</v>
      </c>
      <c r="AN10" s="4">
        <v>24307</v>
      </c>
      <c r="AO10" s="20"/>
      <c r="AP10" s="20"/>
      <c r="AQ10" s="20">
        <v>20703</v>
      </c>
      <c r="AR10" s="4">
        <v>27224</v>
      </c>
      <c r="AS10" s="4"/>
      <c r="AT10" s="10">
        <f>7491056/1000</f>
        <v>7491.0559999999996</v>
      </c>
      <c r="AU10" s="4">
        <f>9046928/1000</f>
        <v>9046.9279999999999</v>
      </c>
      <c r="AV10" s="4"/>
      <c r="AW10" s="47">
        <f>1425572</f>
        <v>1425572</v>
      </c>
      <c r="AX10" s="47">
        <f>1532572</f>
        <v>1532572</v>
      </c>
      <c r="AY10" s="4"/>
      <c r="AZ10" s="47">
        <v>655241</v>
      </c>
      <c r="BA10" s="47">
        <v>691780</v>
      </c>
      <c r="BD10" s="36">
        <v>7650</v>
      </c>
      <c r="BE10" s="4">
        <v>10502</v>
      </c>
      <c r="BG10" s="36">
        <v>5528</v>
      </c>
      <c r="BH10" s="36">
        <v>6471</v>
      </c>
      <c r="BJ10" s="36">
        <v>5564</v>
      </c>
      <c r="BK10" s="36">
        <v>6247</v>
      </c>
      <c r="BM10" s="36">
        <v>7024</v>
      </c>
      <c r="BN10" s="36">
        <v>8004</v>
      </c>
      <c r="BP10" s="36">
        <v>3556</v>
      </c>
      <c r="BQ10" s="36">
        <v>4895</v>
      </c>
      <c r="BS10" s="36">
        <v>2004</v>
      </c>
      <c r="BT10" s="36">
        <v>514</v>
      </c>
      <c r="BV10" s="36">
        <v>1550</v>
      </c>
      <c r="BW10" s="36">
        <v>2032</v>
      </c>
      <c r="BY10" s="36">
        <v>3668</v>
      </c>
      <c r="BZ10" s="36">
        <v>5054</v>
      </c>
    </row>
    <row r="11" spans="1:79" x14ac:dyDescent="0.2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0"/>
      <c r="AA11" s="10"/>
      <c r="AB11" s="10"/>
      <c r="AC11" s="20"/>
      <c r="AD11" s="21"/>
      <c r="AE11" s="21"/>
      <c r="AF11" s="20"/>
      <c r="AI11" s="20"/>
      <c r="AJ11" s="21"/>
      <c r="AK11" s="21"/>
      <c r="AL11" s="20"/>
      <c r="AM11" s="21"/>
      <c r="AN11" s="21"/>
      <c r="AO11" s="20"/>
      <c r="AP11" s="20"/>
      <c r="AQ11" s="20"/>
      <c r="AR11" s="21"/>
      <c r="AS11" s="21"/>
      <c r="AT11" s="21"/>
      <c r="AU11" s="21"/>
      <c r="AV11" s="21"/>
      <c r="AW11" s="48"/>
      <c r="AX11" s="48"/>
      <c r="AY11" s="21"/>
      <c r="AZ11" s="21"/>
      <c r="BA11" s="21"/>
      <c r="BD11" s="36"/>
      <c r="BE11" s="36"/>
    </row>
    <row r="12" spans="1:79" x14ac:dyDescent="0.2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0"/>
      <c r="AA12" s="21"/>
      <c r="AB12" s="21"/>
      <c r="AC12" s="20"/>
      <c r="AD12" s="21"/>
      <c r="AE12" s="21"/>
      <c r="AF12" s="20"/>
      <c r="AG12" s="21"/>
      <c r="AH12" s="21"/>
      <c r="AI12" s="20"/>
      <c r="AJ12" s="21"/>
      <c r="AK12" s="21"/>
      <c r="AL12" s="20"/>
      <c r="AM12" s="21"/>
      <c r="AN12" s="21"/>
      <c r="AO12" s="20"/>
      <c r="AP12" s="20"/>
      <c r="AQ12" s="20"/>
      <c r="AR12" s="21"/>
      <c r="AS12" s="21"/>
      <c r="AT12" s="21"/>
      <c r="AU12" s="21"/>
      <c r="AV12" s="21"/>
      <c r="AW12" s="48"/>
      <c r="AX12" s="48"/>
      <c r="AY12" s="21"/>
      <c r="AZ12" s="21"/>
      <c r="BA12" s="21"/>
      <c r="BD12" s="36"/>
      <c r="BE12" s="36"/>
    </row>
    <row r="13" spans="1:79" x14ac:dyDescent="0.2">
      <c r="A13" s="1" t="s">
        <v>80</v>
      </c>
      <c r="B13" s="1" t="s">
        <v>0</v>
      </c>
      <c r="C13" s="4">
        <v>187144000</v>
      </c>
      <c r="D13" s="4">
        <v>185528000</v>
      </c>
      <c r="E13" s="4"/>
      <c r="F13" s="4">
        <v>142496000</v>
      </c>
      <c r="G13" s="4">
        <v>118880000</v>
      </c>
      <c r="H13" s="4"/>
      <c r="I13" s="4">
        <v>13631914</v>
      </c>
      <c r="J13" s="4">
        <v>13499091</v>
      </c>
      <c r="K13" s="4"/>
      <c r="L13" s="10">
        <v>12652586</v>
      </c>
      <c r="M13" s="10">
        <v>13464027</v>
      </c>
      <c r="N13" s="4"/>
      <c r="O13" s="98">
        <v>20380203</v>
      </c>
      <c r="P13" s="98">
        <v>29247951</v>
      </c>
      <c r="Q13" s="4"/>
      <c r="R13" s="4"/>
      <c r="S13" s="4">
        <v>4619248.065440001</v>
      </c>
      <c r="T13" s="3"/>
      <c r="U13" s="3"/>
      <c r="V13" s="3">
        <f xml:space="preserve"> 72190 * V1</f>
        <v>5042471.5</v>
      </c>
      <c r="X13" s="3"/>
      <c r="Y13" s="3">
        <v>2316378</v>
      </c>
      <c r="Z13" s="27"/>
      <c r="AA13" s="3"/>
      <c r="AB13" s="3">
        <v>1473848.6949400001</v>
      </c>
      <c r="AD13" s="3"/>
      <c r="AE13" s="3">
        <f>1638387651.14217/1000</f>
        <v>1638387.65114217</v>
      </c>
      <c r="AG13" s="3"/>
      <c r="AH13" s="3">
        <v>926891.11914999958</v>
      </c>
      <c r="AJ13" s="3"/>
      <c r="AK13" s="3">
        <v>620000</v>
      </c>
      <c r="AL13" s="14"/>
      <c r="AM13" s="3"/>
      <c r="AN13" s="3">
        <v>420206.66000000003</v>
      </c>
      <c r="AR13" s="1">
        <v>192100</v>
      </c>
      <c r="AU13" s="4">
        <f>71510783/1000</f>
        <v>71510.782999999996</v>
      </c>
      <c r="AW13" s="47"/>
      <c r="AX13" s="47">
        <f>11865440</f>
        <v>11865440</v>
      </c>
      <c r="AZ13" s="4"/>
      <c r="BA13" s="47">
        <v>4640532</v>
      </c>
      <c r="BD13" s="36">
        <v>68633</v>
      </c>
      <c r="BE13" s="36">
        <v>87918</v>
      </c>
      <c r="BG13" s="36">
        <v>53522</v>
      </c>
      <c r="BH13" s="36">
        <v>59270</v>
      </c>
      <c r="BJ13" s="36">
        <v>49524</v>
      </c>
      <c r="BK13" s="36">
        <v>51921</v>
      </c>
      <c r="BM13" s="36">
        <v>36505</v>
      </c>
      <c r="BN13" s="36">
        <v>39293</v>
      </c>
      <c r="BP13" s="36">
        <v>29670</v>
      </c>
      <c r="BQ13" s="36">
        <v>33211</v>
      </c>
      <c r="BS13" s="36">
        <v>31789</v>
      </c>
      <c r="BT13" s="36">
        <v>33305</v>
      </c>
      <c r="BV13" s="36">
        <v>22419</v>
      </c>
      <c r="BW13" s="36">
        <v>26735</v>
      </c>
      <c r="BY13" s="36">
        <v>26997</v>
      </c>
      <c r="BZ13" s="36">
        <v>32301</v>
      </c>
    </row>
    <row r="14" spans="1:79" x14ac:dyDescent="0.25">
      <c r="A14" s="1" t="s">
        <v>80</v>
      </c>
      <c r="B14" s="1" t="s">
        <v>54</v>
      </c>
      <c r="C14" s="4">
        <v>206773000</v>
      </c>
      <c r="D14" s="4">
        <v>203705000</v>
      </c>
      <c r="E14" s="4"/>
      <c r="F14" s="4">
        <v>229419000</v>
      </c>
      <c r="G14" s="4">
        <v>201793000</v>
      </c>
      <c r="H14" s="4"/>
      <c r="I14" s="4">
        <v>16675613</v>
      </c>
      <c r="J14" s="4">
        <v>16704749</v>
      </c>
      <c r="K14" s="4"/>
      <c r="L14" s="10">
        <v>12652586</v>
      </c>
      <c r="M14" s="10">
        <v>13464027</v>
      </c>
      <c r="N14" s="4"/>
      <c r="O14" s="4"/>
      <c r="P14" s="4"/>
      <c r="Q14" s="4"/>
      <c r="R14" s="4"/>
      <c r="S14" s="4">
        <v>4884486.9042269131</v>
      </c>
      <c r="T14" s="3"/>
      <c r="U14" s="3"/>
      <c r="V14" s="3">
        <f xml:space="preserve"> 75891 * V1</f>
        <v>5300986.3499999996</v>
      </c>
      <c r="X14" s="3"/>
      <c r="Y14" s="3">
        <v>2399711.678934515</v>
      </c>
      <c r="Z14" s="27"/>
      <c r="AA14" s="3"/>
      <c r="AB14" s="3">
        <v>1860526.3782649753</v>
      </c>
      <c r="AD14" s="3"/>
      <c r="AE14" s="3">
        <f>2149650917.89588/1000</f>
        <v>2149650.9178958801</v>
      </c>
      <c r="AG14" s="3"/>
      <c r="AH14" s="3">
        <v>1116102.5478492866</v>
      </c>
      <c r="AJ14" s="3"/>
      <c r="AK14" s="3">
        <v>649345.073799851</v>
      </c>
      <c r="AL14" s="14"/>
      <c r="AM14" s="3"/>
      <c r="AN14" s="3">
        <v>445681.19250000006</v>
      </c>
      <c r="AR14" s="1">
        <v>297391</v>
      </c>
      <c r="AU14" s="4">
        <f>AU13+20300863/1000</f>
        <v>91811.645999999993</v>
      </c>
      <c r="AW14" s="47"/>
      <c r="AX14" s="47">
        <f>13127646</f>
        <v>13127646</v>
      </c>
      <c r="AZ14" s="4"/>
      <c r="BA14" s="47">
        <v>4981953</v>
      </c>
      <c r="BD14" s="36">
        <v>95371</v>
      </c>
      <c r="BE14" s="36">
        <v>115159</v>
      </c>
      <c r="BG14" s="36">
        <v>59108</v>
      </c>
      <c r="BH14" s="36">
        <v>64502</v>
      </c>
      <c r="BJ14" s="36">
        <v>54509</v>
      </c>
      <c r="BK14" s="36">
        <v>56761</v>
      </c>
      <c r="BM14" s="36">
        <v>39719</v>
      </c>
      <c r="BN14" s="36">
        <v>42197</v>
      </c>
      <c r="BP14" s="36">
        <v>40880</v>
      </c>
      <c r="BQ14" s="36">
        <v>43976</v>
      </c>
      <c r="BS14" s="36">
        <v>32868</v>
      </c>
      <c r="BT14" s="36">
        <v>34917</v>
      </c>
      <c r="BV14" s="36">
        <v>32271</v>
      </c>
      <c r="BW14" s="36">
        <v>33494</v>
      </c>
      <c r="BY14" s="36">
        <v>40496</v>
      </c>
      <c r="BZ14" s="36">
        <v>45221</v>
      </c>
    </row>
    <row r="15" spans="1:79" x14ac:dyDescent="0.25">
      <c r="A15" s="1" t="s">
        <v>80</v>
      </c>
      <c r="B15" s="1" t="s">
        <v>19</v>
      </c>
      <c r="C15" s="4">
        <v>993822000</v>
      </c>
      <c r="D15" s="4">
        <v>1142057000</v>
      </c>
      <c r="E15" s="4"/>
      <c r="F15" s="4">
        <v>1070556000</v>
      </c>
      <c r="G15" s="4">
        <v>1172381000</v>
      </c>
      <c r="H15" s="4"/>
      <c r="I15" s="4">
        <v>85912614</v>
      </c>
      <c r="J15" s="4">
        <v>94394374</v>
      </c>
      <c r="K15" s="4"/>
      <c r="L15" s="10">
        <v>14179491.25</v>
      </c>
      <c r="M15" s="10">
        <v>16590162</v>
      </c>
      <c r="N15" s="4"/>
      <c r="O15" s="4">
        <v>96796783</v>
      </c>
      <c r="P15" s="4">
        <v>129203277</v>
      </c>
      <c r="Q15" s="4"/>
      <c r="R15" s="4"/>
      <c r="S15" s="4">
        <v>21219107.102952972</v>
      </c>
      <c r="T15" s="3"/>
      <c r="U15" s="3"/>
      <c r="V15" s="3">
        <f xml:space="preserve"> 216677 * V1</f>
        <v>15134888.449999999</v>
      </c>
      <c r="X15" s="3"/>
      <c r="Y15" s="3">
        <v>12880308.703904368</v>
      </c>
      <c r="Z15" s="27"/>
      <c r="AA15" s="3"/>
      <c r="AB15" s="3">
        <v>7222739.4489354752</v>
      </c>
      <c r="AD15" s="3"/>
      <c r="AE15" s="3">
        <f>7259687587.97222/1000</f>
        <v>7259687.58797222</v>
      </c>
      <c r="AG15" s="3"/>
      <c r="AH15" s="3">
        <v>6780100.5295429528</v>
      </c>
      <c r="AJ15" s="3"/>
      <c r="AK15" s="3">
        <v>2368275.6383880773</v>
      </c>
      <c r="AM15" s="3"/>
      <c r="AN15" s="3">
        <v>1058081.8939999999</v>
      </c>
      <c r="AR15" s="1">
        <f>1358377</f>
        <v>1358377</v>
      </c>
      <c r="AU15" s="4">
        <f>533698491/1000</f>
        <v>533698.49100000004</v>
      </c>
      <c r="AW15" s="47"/>
      <c r="AX15" s="47">
        <f>1/AX18*AX14</f>
        <v>78608658.682634726</v>
      </c>
      <c r="AZ15" s="4"/>
      <c r="BA15" s="47">
        <v>19274500</v>
      </c>
      <c r="BD15" s="36">
        <v>534421</v>
      </c>
      <c r="BE15" s="36">
        <v>637670</v>
      </c>
      <c r="BG15" s="36">
        <v>442110</v>
      </c>
      <c r="BH15" s="36">
        <v>496125</v>
      </c>
      <c r="BJ15" s="36">
        <v>242265</v>
      </c>
      <c r="BK15" s="36">
        <v>281383</v>
      </c>
      <c r="BM15" s="36">
        <v>272970</v>
      </c>
      <c r="BN15" s="36">
        <v>304453</v>
      </c>
      <c r="BP15" s="36">
        <v>223220</v>
      </c>
      <c r="BQ15" s="36">
        <v>269190</v>
      </c>
      <c r="BS15" s="36">
        <v>213057</v>
      </c>
      <c r="BT15" s="36">
        <v>215402</v>
      </c>
      <c r="BV15" s="36">
        <v>183231</v>
      </c>
      <c r="BW15" s="36">
        <v>217367</v>
      </c>
      <c r="BY15" s="36">
        <v>199278</v>
      </c>
      <c r="BZ15" s="36">
        <v>289697</v>
      </c>
    </row>
    <row r="16" spans="1:79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AU16" s="4"/>
      <c r="AW16" s="47"/>
      <c r="AX16" s="47"/>
      <c r="AZ16" s="4"/>
      <c r="BD16" s="36"/>
      <c r="BE16" s="36"/>
    </row>
    <row r="17" spans="1:78" x14ac:dyDescent="0.25">
      <c r="A17" s="1" t="s">
        <v>80</v>
      </c>
      <c r="B17" s="1" t="s">
        <v>1</v>
      </c>
      <c r="C17" s="27">
        <f xml:space="preserve"> C13 / C15</f>
        <v>0.18830736288792158</v>
      </c>
      <c r="D17" s="27">
        <f t="shared" ref="D17" si="25" xml:space="preserve"> D13 / D15</f>
        <v>0.16245073582141697</v>
      </c>
      <c r="E17" s="27"/>
      <c r="F17" s="27">
        <f xml:space="preserve"> F13 / F15</f>
        <v>0.13310466710755905</v>
      </c>
      <c r="G17" s="27">
        <f t="shared" ref="G17" si="26" xml:space="preserve"> G13 / G15</f>
        <v>0.10140048328998849</v>
      </c>
      <c r="H17" s="27"/>
      <c r="I17" s="27">
        <f xml:space="preserve"> I13 / I15</f>
        <v>0.15867185696386796</v>
      </c>
      <c r="J17" s="27">
        <f t="shared" ref="J17" si="27" xml:space="preserve"> J13 / J15</f>
        <v>0.1430073682145506</v>
      </c>
      <c r="K17" s="27"/>
      <c r="L17" s="27">
        <f xml:space="preserve"> L13 / L15</f>
        <v>0.89231593552413246</v>
      </c>
      <c r="M17" s="27">
        <f t="shared" ref="M17" si="28" xml:space="preserve"> M13 / M15</f>
        <v>0.81156693949100678</v>
      </c>
      <c r="N17" s="27"/>
      <c r="O17" s="27">
        <f xml:space="preserve"> O13 / O5</f>
        <v>0.21054628437393422</v>
      </c>
      <c r="P17" s="27">
        <f xml:space="preserve"> P13 / P5</f>
        <v>0.22637158808286265</v>
      </c>
      <c r="Q17" s="27"/>
      <c r="R17" s="27"/>
      <c r="S17" s="27">
        <f xml:space="preserve"> S13 / S15</f>
        <v>0.2176928578110226</v>
      </c>
      <c r="T17" s="3"/>
      <c r="U17" s="27"/>
      <c r="V17" s="27">
        <f xml:space="preserve"> V13 / V15</f>
        <v>0.33316872579923112</v>
      </c>
      <c r="X17" s="27"/>
      <c r="Y17" s="27">
        <v>0.1798387021033</v>
      </c>
      <c r="AA17" s="27"/>
      <c r="AB17" s="27">
        <f>AB13/AB15</f>
        <v>0.20405674403182625</v>
      </c>
      <c r="AD17" s="27"/>
      <c r="AE17" s="27">
        <f>AE13/AE15</f>
        <v>0.225682941764138</v>
      </c>
      <c r="AG17" s="27"/>
      <c r="AH17" s="27">
        <f>AH13/AH15</f>
        <v>0.13670757758107777</v>
      </c>
      <c r="AJ17" s="38"/>
      <c r="AK17" s="27">
        <v>0.26179385116759107</v>
      </c>
      <c r="AM17" s="38"/>
      <c r="AN17" s="27">
        <f xml:space="preserve"> AN13 / AN15</f>
        <v>0.39714001570468238</v>
      </c>
      <c r="AR17" s="5">
        <f>AR13/AR15</f>
        <v>0.14141876666050734</v>
      </c>
      <c r="AS17" s="2"/>
      <c r="AT17" s="5"/>
      <c r="AU17" s="5">
        <f>AU13/AU15</f>
        <v>0.13399097843804844</v>
      </c>
      <c r="AV17" s="2"/>
      <c r="AW17" s="49"/>
      <c r="AX17" s="49">
        <f>AX13/AX15</f>
        <v>0.15094316833345445</v>
      </c>
      <c r="AY17" s="49"/>
      <c r="AZ17" s="49"/>
      <c r="BA17" s="49">
        <f>BA13/BA15</f>
        <v>0.24076017536122857</v>
      </c>
      <c r="BD17" s="27">
        <f xml:space="preserve"> BD13 / BD15</f>
        <v>0.12842496833021158</v>
      </c>
      <c r="BE17" s="27">
        <f xml:space="preserve"> BE13 / BE15</f>
        <v>0.13787382188279204</v>
      </c>
      <c r="BG17" s="27">
        <f xml:space="preserve"> BG13 / BG15</f>
        <v>0.12106036959127819</v>
      </c>
      <c r="BH17" s="27">
        <f xml:space="preserve"> BH13 / BH15</f>
        <v>0.11946586041824137</v>
      </c>
      <c r="BJ17" s="27">
        <f xml:space="preserve"> BJ13 / BJ15</f>
        <v>0.20442077889913937</v>
      </c>
      <c r="BK17" s="27">
        <f xml:space="preserve"> BK13 / BK15</f>
        <v>0.18452074219124823</v>
      </c>
      <c r="BM17" s="27">
        <f xml:space="preserve"> BM13 / BM15</f>
        <v>0.13373264461296114</v>
      </c>
      <c r="BN17" s="27">
        <f xml:space="preserve"> BN13 / BN15</f>
        <v>0.12906097164422753</v>
      </c>
      <c r="BP17" s="27">
        <f xml:space="preserve"> BP13 / BP15</f>
        <v>0.13291819729414928</v>
      </c>
      <c r="BQ17" s="27">
        <f xml:space="preserve"> BQ13 / BQ15</f>
        <v>0.12337382517924143</v>
      </c>
      <c r="BS17" s="27">
        <f xml:space="preserve"> BS13 / BS15</f>
        <v>0.14920420356993669</v>
      </c>
      <c r="BT17" s="27">
        <f xml:space="preserve"> BT13 / BT15</f>
        <v>0.15461787727133453</v>
      </c>
      <c r="BV17" s="27">
        <f xml:space="preserve"> BV13 / BV15</f>
        <v>0.12235375018419373</v>
      </c>
      <c r="BW17" s="27">
        <f xml:space="preserve"> BW13 / BW15</f>
        <v>0.12299475081314092</v>
      </c>
      <c r="BY17" s="27">
        <f xml:space="preserve"> BY13 / BY15</f>
        <v>0.13547406136151507</v>
      </c>
      <c r="BZ17" s="27">
        <f xml:space="preserve"> BZ13 / BZ15</f>
        <v>0.11149925611932468</v>
      </c>
    </row>
    <row r="18" spans="1:78" x14ac:dyDescent="0.25">
      <c r="A18" s="1" t="s">
        <v>80</v>
      </c>
      <c r="B18" s="1" t="s">
        <v>2</v>
      </c>
      <c r="C18" s="27">
        <f xml:space="preserve"> C14 / C15</f>
        <v>0.2080583847006808</v>
      </c>
      <c r="D18" s="27">
        <f t="shared" ref="D18" si="29" xml:space="preserve"> D14 / D15</f>
        <v>0.17836675402366081</v>
      </c>
      <c r="E18" s="27"/>
      <c r="F18" s="27">
        <f xml:space="preserve"> F14 / F15</f>
        <v>0.21429892504455628</v>
      </c>
      <c r="G18" s="27">
        <f t="shared" ref="G18" si="30" xml:space="preserve"> G14 / G15</f>
        <v>0.17212237318755591</v>
      </c>
      <c r="H18" s="27"/>
      <c r="I18" s="27">
        <f xml:space="preserve"> I14 / I15</f>
        <v>0.19409970461380677</v>
      </c>
      <c r="J18" s="27">
        <f t="shared" ref="J18" si="31" xml:space="preserve"> J14 / J15</f>
        <v>0.17696763368545673</v>
      </c>
      <c r="K18" s="27"/>
      <c r="L18" s="27">
        <f xml:space="preserve"> L14 / L15</f>
        <v>0.89231593552413246</v>
      </c>
      <c r="M18" s="27">
        <f t="shared" ref="M18" si="32" xml:space="preserve"> M14 / M15</f>
        <v>0.81156693949100678</v>
      </c>
      <c r="N18" s="27"/>
      <c r="O18" s="27"/>
      <c r="P18" s="27"/>
      <c r="Q18" s="27"/>
      <c r="R18" s="27"/>
      <c r="S18" s="27">
        <f xml:space="preserve"> S14 / S15</f>
        <v>0.23019285781102258</v>
      </c>
      <c r="T18" s="3"/>
      <c r="U18" s="27"/>
      <c r="V18" s="27">
        <f xml:space="preserve"> V14 / V15</f>
        <v>0.35024944964163246</v>
      </c>
      <c r="X18" s="27"/>
      <c r="Y18" s="27">
        <v>0.18630855316434286</v>
      </c>
      <c r="AA18" s="27"/>
      <c r="AB18" s="27">
        <f>AB14/AB15</f>
        <v>0.25759289690827619</v>
      </c>
      <c r="AD18" s="27"/>
      <c r="AE18" s="27">
        <f>AE14/AE15</f>
        <v>0.29610790985791191</v>
      </c>
      <c r="AG18" s="27"/>
      <c r="AH18" s="27">
        <f>AH14/AH15</f>
        <v>0.16461445416422507</v>
      </c>
      <c r="AJ18" s="38"/>
      <c r="AK18" s="27">
        <v>0.27418475420446231</v>
      </c>
      <c r="AM18" s="38"/>
      <c r="AN18" s="27">
        <f xml:space="preserve"> AN14/AN15</f>
        <v>0.42121616013589974</v>
      </c>
      <c r="AR18" s="5">
        <f>AR14/AR15</f>
        <v>0.21893112147805802</v>
      </c>
      <c r="AS18" s="2"/>
      <c r="AT18" s="5"/>
      <c r="AU18" s="5">
        <f>AU14/AU15</f>
        <v>0.17202905301075694</v>
      </c>
      <c r="AV18" s="2"/>
      <c r="AW18" s="49"/>
      <c r="AX18" s="49">
        <v>0.16700000000000001</v>
      </c>
      <c r="AY18" s="49"/>
      <c r="AZ18" s="49"/>
      <c r="BA18" s="49">
        <f>BA14/BA15</f>
        <v>0.25847378660925058</v>
      </c>
      <c r="BD18" s="27">
        <f xml:space="preserve"> BD14 / BD15</f>
        <v>0.17845668489823566</v>
      </c>
      <c r="BE18" s="27">
        <f xml:space="preserve"> BE14 / BE15</f>
        <v>0.18059341038468174</v>
      </c>
      <c r="BG18" s="27">
        <f xml:space="preserve"> BG14 / BG15</f>
        <v>0.13369523421772861</v>
      </c>
      <c r="BH18" s="27">
        <f xml:space="preserve"> BH14 / BH15</f>
        <v>0.13001158982111363</v>
      </c>
      <c r="BJ18" s="27">
        <f xml:space="preserve"> BJ14 / BJ15</f>
        <v>0.22499742018038099</v>
      </c>
      <c r="BK18" s="27">
        <f xml:space="preserve"> BK14 / BK15</f>
        <v>0.20172149703429135</v>
      </c>
      <c r="BM18" s="27">
        <f xml:space="preserve"> BM14 / BM15</f>
        <v>0.1455068322526285</v>
      </c>
      <c r="BN18" s="27">
        <f xml:space="preserve"> BN14 / BN15</f>
        <v>0.13859938972517927</v>
      </c>
      <c r="BP18" s="27">
        <f xml:space="preserve"> BP14 / BP15</f>
        <v>0.18313771167458112</v>
      </c>
      <c r="BQ18" s="27">
        <f xml:space="preserve"> BQ14 / BQ15</f>
        <v>0.16336416657379546</v>
      </c>
      <c r="BS18" s="27">
        <f xml:space="preserve"> BS14 / BS15</f>
        <v>0.15426857601486926</v>
      </c>
      <c r="BT18" s="27">
        <f xml:space="preserve"> BT14 / BT15</f>
        <v>0.16210155894559938</v>
      </c>
      <c r="BV18" s="27">
        <f xml:space="preserve"> BV14 / BV15</f>
        <v>0.17612194443080045</v>
      </c>
      <c r="BW18" s="27">
        <f xml:space="preserve"> BW14 / BW15</f>
        <v>0.15408962722032324</v>
      </c>
      <c r="BY18" s="27">
        <f xml:space="preserve"> BY14 / BY15</f>
        <v>0.20321360109997089</v>
      </c>
      <c r="BZ18" s="27">
        <f xml:space="preserve"> BZ14 / BZ15</f>
        <v>0.15609757781406089</v>
      </c>
    </row>
    <row r="19" spans="1:78" x14ac:dyDescent="0.2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Y19" s="1" t="s">
        <v>52</v>
      </c>
      <c r="AS19" s="2"/>
      <c r="AU19" s="5"/>
      <c r="AV19" s="2"/>
      <c r="AW19" s="50"/>
      <c r="AX19" s="49"/>
      <c r="AY19" s="2"/>
      <c r="AZ19" s="5"/>
      <c r="BD19" s="36"/>
      <c r="BE19" s="36"/>
    </row>
    <row r="20" spans="1:78" x14ac:dyDescent="0.2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AS20" s="2"/>
      <c r="AU20" s="5"/>
      <c r="AV20" s="2"/>
      <c r="AW20" s="50"/>
      <c r="AX20" s="49"/>
      <c r="AY20" s="2"/>
      <c r="AZ20" s="5"/>
      <c r="BD20" s="36"/>
      <c r="BE20" s="36"/>
    </row>
    <row r="21" spans="1:78" x14ac:dyDescent="0.25">
      <c r="A21" s="1" t="s">
        <v>80</v>
      </c>
      <c r="B21" s="1" t="s">
        <v>3</v>
      </c>
      <c r="C21" s="10"/>
      <c r="D21" s="10">
        <v>191929000</v>
      </c>
      <c r="E21" s="3"/>
      <c r="F21" s="3"/>
      <c r="G21" s="10">
        <v>300022000</v>
      </c>
      <c r="H21" s="3"/>
      <c r="I21" s="3"/>
      <c r="J21" s="10">
        <v>13016552</v>
      </c>
      <c r="K21" s="10"/>
      <c r="L21" s="3"/>
      <c r="M21" s="10">
        <v>1832838</v>
      </c>
      <c r="N21" s="10"/>
      <c r="O21" s="3"/>
      <c r="P21" s="10">
        <v>3439929</v>
      </c>
      <c r="Q21" s="10"/>
      <c r="R21" s="10"/>
      <c r="S21" s="10">
        <v>2956396</v>
      </c>
      <c r="T21" s="10"/>
      <c r="U21" s="10"/>
      <c r="V21" s="4">
        <f xml:space="preserve"> 8836 * V1</f>
        <v>617194.6</v>
      </c>
      <c r="W21" s="4"/>
      <c r="X21" s="4"/>
      <c r="Y21" s="4">
        <v>289749</v>
      </c>
      <c r="AA21" s="4"/>
      <c r="AB21" s="10">
        <f xml:space="preserve"> 74328 + 7594 + 47945</f>
        <v>129867</v>
      </c>
      <c r="AD21" s="4"/>
      <c r="AE21" s="10">
        <f xml:space="preserve"> 9075 + 123833</f>
        <v>132908</v>
      </c>
      <c r="AG21" s="4"/>
      <c r="AH21" s="10">
        <v>235955.20000000001</v>
      </c>
      <c r="AJ21" s="4"/>
      <c r="AK21" s="10">
        <v>20944</v>
      </c>
      <c r="AM21" s="4"/>
      <c r="AN21" s="10">
        <v>7734</v>
      </c>
      <c r="AR21" s="4">
        <f>11780+12691+4407</f>
        <v>28878</v>
      </c>
      <c r="AS21" s="4"/>
      <c r="AT21" s="4"/>
      <c r="AU21" s="4">
        <f>(34134374+2086536+4231346+0)/1000</f>
        <v>40452.256000000001</v>
      </c>
      <c r="AV21" s="4"/>
      <c r="AW21" s="47"/>
      <c r="AX21" s="47">
        <f>(1215171+1922344+3663163+3022921)</f>
        <v>9823599</v>
      </c>
      <c r="AY21" s="4"/>
      <c r="AZ21" s="4"/>
      <c r="BA21" s="47">
        <v>803089</v>
      </c>
      <c r="BD21" s="36"/>
      <c r="BE21" s="36">
        <f>7923+305+2298</f>
        <v>10526</v>
      </c>
      <c r="BH21" s="36">
        <v>11952</v>
      </c>
      <c r="BK21" s="36">
        <v>10767</v>
      </c>
      <c r="BN21" s="36">
        <v>6724</v>
      </c>
      <c r="BQ21" s="36">
        <f>5067+1300+1831+243</f>
        <v>8441</v>
      </c>
      <c r="BT21" s="36">
        <f>503+232</f>
        <v>735</v>
      </c>
      <c r="BW21" s="36">
        <v>171</v>
      </c>
      <c r="BZ21" s="36">
        <f>77+105</f>
        <v>182</v>
      </c>
    </row>
    <row r="22" spans="1:78" x14ac:dyDescent="0.25">
      <c r="A22" s="1" t="s">
        <v>80</v>
      </c>
      <c r="B22" s="1" t="s">
        <v>76</v>
      </c>
      <c r="C22" s="10"/>
      <c r="D22" s="10">
        <v>167587000</v>
      </c>
      <c r="E22" s="3"/>
      <c r="F22" s="3"/>
      <c r="G22" s="10">
        <f xml:space="preserve"> 25530000 + 75414000</f>
        <v>100944000</v>
      </c>
      <c r="H22" s="3"/>
      <c r="I22" s="3"/>
      <c r="J22" s="10">
        <v>4436808</v>
      </c>
      <c r="K22" s="10"/>
      <c r="L22" s="3"/>
      <c r="M22" s="10">
        <v>697862</v>
      </c>
      <c r="N22" s="10"/>
      <c r="O22" s="3"/>
      <c r="P22" s="10">
        <v>1779946</v>
      </c>
      <c r="Q22" s="10"/>
      <c r="R22" s="10"/>
      <c r="S22" s="23"/>
      <c r="T22" s="10"/>
      <c r="U22" s="10"/>
      <c r="V22" s="23"/>
      <c r="W22" s="4"/>
      <c r="X22" s="4"/>
      <c r="Y22" s="23"/>
      <c r="AA22" s="4"/>
      <c r="AB22" s="23"/>
      <c r="AD22" s="4"/>
      <c r="AE22" s="23"/>
      <c r="AG22" s="4"/>
      <c r="AH22" s="23"/>
      <c r="AJ22" s="4"/>
      <c r="AK22" s="23"/>
      <c r="AM22" s="4"/>
      <c r="AN22" s="23"/>
      <c r="AR22" s="4">
        <f>2793+4803+4358</f>
        <v>11954</v>
      </c>
      <c r="AS22" s="4"/>
      <c r="AT22" s="4"/>
      <c r="AU22" s="23"/>
      <c r="AV22" s="4"/>
      <c r="AW22" s="47"/>
      <c r="AX22" s="68"/>
      <c r="AY22" s="4"/>
      <c r="AZ22" s="4"/>
      <c r="BA22" s="68"/>
      <c r="BD22" s="36"/>
      <c r="BE22" s="36">
        <v>16283</v>
      </c>
      <c r="BH22" s="36">
        <v>11304</v>
      </c>
      <c r="BK22" s="36">
        <v>7140</v>
      </c>
      <c r="BN22" s="36">
        <v>6538</v>
      </c>
      <c r="BQ22" s="36">
        <v>5583</v>
      </c>
      <c r="BT22" s="36">
        <v>473</v>
      </c>
      <c r="BW22" s="36">
        <f>98+72+0.2+1.3</f>
        <v>171.5</v>
      </c>
      <c r="BZ22" s="36">
        <v>73</v>
      </c>
    </row>
    <row r="23" spans="1:78" s="70" customFormat="1" x14ac:dyDescent="0.25">
      <c r="A23" s="7" t="s">
        <v>80</v>
      </c>
      <c r="B23" s="7" t="s">
        <v>4</v>
      </c>
      <c r="C23" s="11"/>
      <c r="D23" s="11">
        <v>-67458000</v>
      </c>
      <c r="E23" s="3"/>
      <c r="F23" s="3"/>
      <c r="G23" s="11">
        <v>-118252000</v>
      </c>
      <c r="H23" s="3"/>
      <c r="I23" s="3"/>
      <c r="J23" s="11">
        <v>-1987472</v>
      </c>
      <c r="K23" s="11"/>
      <c r="L23" s="3"/>
      <c r="M23" s="11">
        <v>-247640</v>
      </c>
      <c r="N23" s="11"/>
      <c r="O23" s="3"/>
      <c r="P23" s="11">
        <v>-2255187</v>
      </c>
      <c r="Q23" s="11"/>
      <c r="R23" s="11"/>
      <c r="S23" s="11">
        <v>-1576757</v>
      </c>
      <c r="T23" s="11"/>
      <c r="U23" s="11"/>
      <c r="V23" s="12">
        <f xml:space="preserve"> -6353 * V1</f>
        <v>-443757.05</v>
      </c>
      <c r="W23" s="12"/>
      <c r="X23" s="12"/>
      <c r="Y23" s="12">
        <v>-130848</v>
      </c>
      <c r="Z23" s="7"/>
      <c r="AA23" s="12"/>
      <c r="AB23" s="11">
        <f xml:space="preserve"> -(54650 + 3928 + 31276)</f>
        <v>-89854</v>
      </c>
      <c r="AC23" s="7"/>
      <c r="AD23" s="12"/>
      <c r="AE23" s="11">
        <f xml:space="preserve"> -(6635 + 79542)</f>
        <v>-86177</v>
      </c>
      <c r="AF23" s="7"/>
      <c r="AG23" s="12"/>
      <c r="AH23" s="11">
        <v>-205931</v>
      </c>
      <c r="AI23" s="7"/>
      <c r="AJ23" s="12"/>
      <c r="AK23" s="11">
        <v>-12751</v>
      </c>
      <c r="AL23" s="7"/>
      <c r="AM23" s="12"/>
      <c r="AN23" s="11">
        <v>-4674</v>
      </c>
      <c r="AO23" s="7"/>
      <c r="AP23" s="7"/>
      <c r="AQ23" s="7"/>
      <c r="AR23" s="12">
        <f>-(9392+3416)</f>
        <v>-12808</v>
      </c>
      <c r="AS23" s="12"/>
      <c r="AT23" s="12"/>
      <c r="AU23" s="12">
        <f>-(24246074+594992+3213527+0)/1000</f>
        <v>-28054.593000000001</v>
      </c>
      <c r="AV23" s="12"/>
      <c r="AW23" s="53"/>
      <c r="AX23" s="53">
        <f>-(755668+1636499+2399773+883056)</f>
        <v>-5674996</v>
      </c>
      <c r="AY23" s="12"/>
      <c r="AZ23" s="12"/>
      <c r="BA23" s="53">
        <v>-444650</v>
      </c>
      <c r="BB23" s="69"/>
      <c r="BC23" s="69"/>
      <c r="BE23" s="70">
        <f>-(6516+170+1168)</f>
        <v>-7854</v>
      </c>
      <c r="BH23" s="70">
        <v>-5451</v>
      </c>
      <c r="BK23" s="70">
        <v>-6716</v>
      </c>
      <c r="BN23" s="70">
        <v>-2901</v>
      </c>
      <c r="BQ23" s="70">
        <f>-2045-294-672-145</f>
        <v>-3156</v>
      </c>
      <c r="BT23" s="70">
        <v>-222</v>
      </c>
      <c r="BW23" s="70">
        <v>-127</v>
      </c>
      <c r="BZ23" s="70">
        <f>-24-47</f>
        <v>-71</v>
      </c>
    </row>
    <row r="24" spans="1:78" x14ac:dyDescent="0.25">
      <c r="A24" s="1" t="s">
        <v>80</v>
      </c>
      <c r="B24" s="1" t="s">
        <v>5</v>
      </c>
      <c r="C24" s="10"/>
      <c r="D24" s="10">
        <v>124471000</v>
      </c>
      <c r="E24" s="3"/>
      <c r="F24" s="3"/>
      <c r="G24" s="10">
        <f>SUM(G21,G23)</f>
        <v>181770000</v>
      </c>
      <c r="H24" s="3"/>
      <c r="I24" s="3"/>
      <c r="J24" s="10">
        <f>SUM(J21,J23)</f>
        <v>11029080</v>
      </c>
      <c r="K24" s="10"/>
      <c r="L24" s="3"/>
      <c r="M24" s="10">
        <f>SUM(M21,M23)</f>
        <v>1585198</v>
      </c>
      <c r="N24" s="10"/>
      <c r="O24" s="3"/>
      <c r="P24" s="10">
        <f>SUM(P21,P23)</f>
        <v>1184742</v>
      </c>
      <c r="Q24" s="10"/>
      <c r="R24" s="10"/>
      <c r="S24" s="10">
        <f>SUM(S21:S23)</f>
        <v>1379639</v>
      </c>
      <c r="T24" s="10"/>
      <c r="U24" s="10"/>
      <c r="V24" s="4">
        <f>SUM(V21:V23)</f>
        <v>173437.55</v>
      </c>
      <c r="W24" s="4"/>
      <c r="X24" s="4"/>
      <c r="Y24" s="4">
        <f>SUM(Y21:Y23)</f>
        <v>158901</v>
      </c>
      <c r="AA24" s="4"/>
      <c r="AB24" s="10">
        <f>SUM(AB21:AB23)</f>
        <v>40013</v>
      </c>
      <c r="AD24" s="4"/>
      <c r="AE24" s="10">
        <f>SUM(AE21:AE23)</f>
        <v>46731</v>
      </c>
      <c r="AG24" s="4"/>
      <c r="AH24" s="10">
        <f>SUM(AH21:AH23)</f>
        <v>30024.200000000012</v>
      </c>
      <c r="AJ24" s="4"/>
      <c r="AK24" s="10">
        <f>SUM(AK21:AK23)</f>
        <v>8193</v>
      </c>
      <c r="AM24" s="4"/>
      <c r="AN24" s="10">
        <f>SUM(AN21:AN23)</f>
        <v>3060</v>
      </c>
      <c r="AR24" s="56">
        <f>SUM(AR21:AR23)</f>
        <v>28024</v>
      </c>
      <c r="AS24" s="4"/>
      <c r="AT24" s="4"/>
      <c r="AU24" s="56">
        <f>SUM(AU21:AU23)</f>
        <v>12397.663</v>
      </c>
      <c r="AV24" s="4"/>
      <c r="AW24" s="47"/>
      <c r="AX24" s="57">
        <f>SUM(AX21:AX23)</f>
        <v>4148603</v>
      </c>
      <c r="AY24" s="4"/>
      <c r="AZ24" s="4"/>
      <c r="BA24" s="57">
        <f>SUM(BA21:BA23)</f>
        <v>358439</v>
      </c>
      <c r="BD24" s="36"/>
      <c r="BE24" s="10">
        <f>SUM(BE21:BE23)</f>
        <v>18955</v>
      </c>
      <c r="BH24" s="10">
        <f>SUM(BH21:BH23)</f>
        <v>17805</v>
      </c>
      <c r="BK24" s="10">
        <f>SUM(BK21:BK23)</f>
        <v>11191</v>
      </c>
      <c r="BN24" s="10">
        <f>SUM(BN21:BN23)</f>
        <v>10361</v>
      </c>
      <c r="BQ24" s="10">
        <f>SUM(BQ21:BQ23)</f>
        <v>10868</v>
      </c>
      <c r="BT24" s="10">
        <f>SUM(BT21:BT23)</f>
        <v>986</v>
      </c>
      <c r="BW24" s="10">
        <f>SUM(BW21:BW23)</f>
        <v>215.5</v>
      </c>
      <c r="BZ24" s="10">
        <f>SUM(BZ21:BZ23)</f>
        <v>184</v>
      </c>
    </row>
    <row r="25" spans="1:78" x14ac:dyDescent="0.25">
      <c r="C25" s="10"/>
      <c r="E25" s="3"/>
      <c r="F25" s="3"/>
      <c r="H25" s="3"/>
      <c r="I25" s="3"/>
      <c r="K25" s="10"/>
      <c r="L25" s="3"/>
      <c r="N25" s="10"/>
      <c r="O25" s="3"/>
      <c r="Q25" s="10"/>
      <c r="R25" s="10"/>
      <c r="S25" s="10"/>
      <c r="T25" s="10"/>
      <c r="U25" s="10"/>
      <c r="V25" s="4"/>
      <c r="W25" s="4"/>
      <c r="X25" s="4"/>
      <c r="Y25" s="4"/>
      <c r="AA25" s="4"/>
      <c r="AB25" s="4"/>
      <c r="AD25" s="4"/>
      <c r="AE25" s="4"/>
      <c r="AG25" s="4"/>
      <c r="AH25" s="4"/>
      <c r="AJ25" s="4"/>
      <c r="AK25" s="4"/>
      <c r="AM25" s="4"/>
      <c r="AN25" s="4"/>
      <c r="AU25" s="4"/>
      <c r="AW25" s="47"/>
      <c r="AX25" s="47"/>
      <c r="AZ25" s="4"/>
      <c r="BD25" s="36"/>
      <c r="BE25" s="36"/>
    </row>
    <row r="26" spans="1:78" x14ac:dyDescent="0.25">
      <c r="A26" s="1" t="s">
        <v>80</v>
      </c>
      <c r="B26" s="1" t="s">
        <v>6</v>
      </c>
      <c r="C26" s="10"/>
      <c r="D26" s="10">
        <v>32342000</v>
      </c>
      <c r="E26" s="3"/>
      <c r="F26" s="3"/>
      <c r="G26" s="10">
        <v>118744000</v>
      </c>
      <c r="H26" s="3"/>
      <c r="I26" s="3"/>
      <c r="J26" s="10">
        <v>3289796</v>
      </c>
      <c r="K26" s="10"/>
      <c r="L26" s="3"/>
      <c r="M26" s="10">
        <v>11220</v>
      </c>
      <c r="N26" s="10"/>
      <c r="O26" s="3"/>
      <c r="P26" s="10">
        <v>470093</v>
      </c>
      <c r="Q26" s="10"/>
      <c r="R26" s="10"/>
      <c r="S26" s="10">
        <v>1139346</v>
      </c>
      <c r="T26" s="10"/>
      <c r="U26" s="10"/>
      <c r="V26" s="4">
        <f xml:space="preserve"> 2245 * V1</f>
        <v>156813.25</v>
      </c>
      <c r="W26" s="4"/>
      <c r="X26" s="4"/>
      <c r="Y26" s="4">
        <v>23737</v>
      </c>
      <c r="AA26" s="4"/>
      <c r="AB26" s="10">
        <f xml:space="preserve"> 22972 + 5828 + 18713</f>
        <v>47513</v>
      </c>
      <c r="AD26" s="4"/>
      <c r="AE26" s="10">
        <f xml:space="preserve"> 571558 + 147578</f>
        <v>719136</v>
      </c>
      <c r="AG26" s="4"/>
      <c r="AH26" s="10">
        <v>278608.90000000002</v>
      </c>
      <c r="AJ26" s="4"/>
      <c r="AK26" s="10">
        <v>19212</v>
      </c>
      <c r="AM26" s="4"/>
      <c r="AN26" s="10">
        <v>3882</v>
      </c>
      <c r="AR26" s="4">
        <f>39567+4116</f>
        <v>43683</v>
      </c>
      <c r="AS26" s="4"/>
      <c r="AT26" s="4"/>
      <c r="AU26" s="4">
        <f>(41740528+456262)/1000</f>
        <v>42196.79</v>
      </c>
      <c r="AV26" s="4"/>
      <c r="AW26" s="47"/>
      <c r="AX26" s="47">
        <f>(661960+505183+162744+2285749)</f>
        <v>3615636</v>
      </c>
      <c r="AY26" s="4"/>
      <c r="AZ26" s="4"/>
      <c r="BA26" s="47">
        <v>217796</v>
      </c>
      <c r="BD26" s="36"/>
      <c r="BE26" s="36">
        <f>16192+2605+347</f>
        <v>19144</v>
      </c>
      <c r="BH26" s="36">
        <v>10559</v>
      </c>
      <c r="BK26" s="36">
        <v>3039</v>
      </c>
      <c r="BN26" s="36">
        <v>7319</v>
      </c>
      <c r="BQ26" s="36">
        <f>81+492+120+259</f>
        <v>952</v>
      </c>
      <c r="BT26" s="36">
        <f>464+5877</f>
        <v>6341</v>
      </c>
      <c r="BW26" s="36">
        <v>112</v>
      </c>
      <c r="BZ26" s="36">
        <f>1656+3091</f>
        <v>4747</v>
      </c>
    </row>
    <row r="27" spans="1:78" s="70" customFormat="1" x14ac:dyDescent="0.25">
      <c r="A27" s="7" t="s">
        <v>80</v>
      </c>
      <c r="B27" s="7" t="s">
        <v>7</v>
      </c>
      <c r="C27" s="11"/>
      <c r="D27" s="11">
        <v>-1369000</v>
      </c>
      <c r="E27" s="3"/>
      <c r="F27" s="3"/>
      <c r="G27" s="11">
        <v>-1882000</v>
      </c>
      <c r="H27" s="3"/>
      <c r="I27" s="3"/>
      <c r="J27" s="11">
        <v>-42735</v>
      </c>
      <c r="K27" s="11"/>
      <c r="L27" s="3"/>
      <c r="M27" s="11">
        <v>-8</v>
      </c>
      <c r="N27" s="11"/>
      <c r="O27" s="3"/>
      <c r="P27" s="11">
        <v>-202821</v>
      </c>
      <c r="Q27" s="11"/>
      <c r="R27" s="11"/>
      <c r="S27" s="11">
        <v>-88487</v>
      </c>
      <c r="T27" s="11"/>
      <c r="U27" s="11"/>
      <c r="V27" s="12">
        <f xml:space="preserve"> -292 * V1</f>
        <v>-20396.199999999997</v>
      </c>
      <c r="W27" s="12"/>
      <c r="X27" s="12"/>
      <c r="Y27" s="12">
        <v>-2601</v>
      </c>
      <c r="Z27" s="7"/>
      <c r="AA27" s="12"/>
      <c r="AB27" s="11">
        <f xml:space="preserve"> -(1355 + 178 + 384)</f>
        <v>-1917</v>
      </c>
      <c r="AC27" s="7"/>
      <c r="AD27" s="12"/>
      <c r="AE27" s="11">
        <f xml:space="preserve"> -(427 + 7241)</f>
        <v>-7668</v>
      </c>
      <c r="AF27" s="7"/>
      <c r="AG27" s="12"/>
      <c r="AH27" s="11">
        <v>-3443</v>
      </c>
      <c r="AI27" s="7"/>
      <c r="AJ27" s="12"/>
      <c r="AK27" s="11">
        <v>-1087</v>
      </c>
      <c r="AL27" s="7"/>
      <c r="AM27" s="12"/>
      <c r="AN27" s="11">
        <v>-603</v>
      </c>
      <c r="AO27" s="7"/>
      <c r="AP27" s="7"/>
      <c r="AQ27" s="7"/>
      <c r="AR27" s="12">
        <f>-(5937+950)</f>
        <v>-6887</v>
      </c>
      <c r="AS27" s="12"/>
      <c r="AT27" s="12"/>
      <c r="AU27" s="12">
        <f>-(3575186+136553)/1000</f>
        <v>-3711.739</v>
      </c>
      <c r="AV27" s="12"/>
      <c r="AW27" s="53"/>
      <c r="AX27" s="53">
        <f>-(35137+22133+2208+352646)</f>
        <v>-412124</v>
      </c>
      <c r="AY27" s="12"/>
      <c r="AZ27" s="12"/>
      <c r="BA27" s="53">
        <v>-10648</v>
      </c>
      <c r="BB27" s="69"/>
      <c r="BC27" s="69"/>
      <c r="BE27" s="70">
        <f>-2749-126</f>
        <v>-2875</v>
      </c>
      <c r="BH27" s="70">
        <v>-1409</v>
      </c>
      <c r="BK27" s="70">
        <v>-73</v>
      </c>
      <c r="BN27" s="70">
        <v>-1281</v>
      </c>
      <c r="BQ27" s="70">
        <f>-24-35-11-29</f>
        <v>-99</v>
      </c>
      <c r="BT27" s="70">
        <f>-72-1405</f>
        <v>-1477</v>
      </c>
      <c r="BW27" s="70">
        <v>-27</v>
      </c>
      <c r="BZ27" s="70">
        <f>-177-567</f>
        <v>-744</v>
      </c>
    </row>
    <row r="28" spans="1:78" x14ac:dyDescent="0.25">
      <c r="A28" s="1" t="s">
        <v>80</v>
      </c>
      <c r="B28" s="1" t="s">
        <v>8</v>
      </c>
      <c r="C28" s="10"/>
      <c r="D28" s="10">
        <v>30973000</v>
      </c>
      <c r="E28" s="3"/>
      <c r="F28" s="3"/>
      <c r="G28" s="10">
        <f>G26+G27</f>
        <v>116862000</v>
      </c>
      <c r="H28" s="3"/>
      <c r="I28" s="3"/>
      <c r="J28" s="10">
        <f>J26+J27</f>
        <v>3247061</v>
      </c>
      <c r="K28" s="10"/>
      <c r="L28" s="3"/>
      <c r="M28" s="10">
        <f>M26+M27</f>
        <v>11212</v>
      </c>
      <c r="N28" s="10"/>
      <c r="O28" s="3"/>
      <c r="P28" s="10">
        <f>P26+P27</f>
        <v>267272</v>
      </c>
      <c r="Q28" s="10"/>
      <c r="R28" s="10"/>
      <c r="S28" s="10">
        <f>S26+S27</f>
        <v>1050859</v>
      </c>
      <c r="T28" s="10"/>
      <c r="U28" s="10"/>
      <c r="V28" s="4">
        <f>V26+V27</f>
        <v>136417.04999999999</v>
      </c>
      <c r="W28" s="4"/>
      <c r="X28" s="4"/>
      <c r="Y28" s="4">
        <f>Y26+Y27</f>
        <v>21136</v>
      </c>
      <c r="AA28" s="4"/>
      <c r="AB28" s="10">
        <f>AB26+AB27</f>
        <v>45596</v>
      </c>
      <c r="AD28" s="4"/>
      <c r="AE28" s="10">
        <f>SUM(AE26:AE27)</f>
        <v>711468</v>
      </c>
      <c r="AG28" s="4"/>
      <c r="AH28" s="10">
        <f>SUM(AH26:AH27)</f>
        <v>275165.90000000002</v>
      </c>
      <c r="AJ28" s="4"/>
      <c r="AK28" s="10">
        <f>SUM(AK26:AK27)</f>
        <v>18125</v>
      </c>
      <c r="AM28" s="4"/>
      <c r="AN28" s="10">
        <f>SUM(AN26:AN27)</f>
        <v>3279</v>
      </c>
      <c r="AR28" s="4">
        <f>AR26+AR27</f>
        <v>36796</v>
      </c>
      <c r="AS28" s="4"/>
      <c r="AT28" s="4"/>
      <c r="AU28" s="4">
        <f>AU26+AU27</f>
        <v>38485.050999999999</v>
      </c>
      <c r="AV28" s="4"/>
      <c r="AW28" s="47"/>
      <c r="AX28" s="47">
        <f>AX26+AX27</f>
        <v>3203512</v>
      </c>
      <c r="AY28" s="4"/>
      <c r="AZ28" s="4"/>
      <c r="BA28" s="57">
        <f>BA26+BA27</f>
        <v>207148</v>
      </c>
      <c r="BD28" s="36"/>
      <c r="BE28" s="10">
        <f>SUM(BE26:BE27)</f>
        <v>16269</v>
      </c>
      <c r="BH28" s="10">
        <f>SUM(BH26:BH27)</f>
        <v>9150</v>
      </c>
      <c r="BK28" s="10">
        <f>SUM(BK26:BK27)</f>
        <v>2966</v>
      </c>
      <c r="BN28" s="10">
        <f>SUM(BN26:BN27)</f>
        <v>6038</v>
      </c>
      <c r="BQ28" s="10">
        <f>SUM(BQ26:BQ27)</f>
        <v>853</v>
      </c>
      <c r="BT28" s="10">
        <f>SUM(BT26:BT27)</f>
        <v>4864</v>
      </c>
      <c r="BW28" s="10">
        <f>SUM(BW26:BW27)</f>
        <v>85</v>
      </c>
      <c r="BZ28" s="10">
        <f>SUM(BZ26:BZ27)</f>
        <v>4003</v>
      </c>
    </row>
    <row r="29" spans="1:78" x14ac:dyDescent="0.2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AS29" s="2"/>
      <c r="AU29" s="5"/>
      <c r="AV29" s="2"/>
      <c r="AW29" s="50"/>
      <c r="AX29" s="49"/>
      <c r="AY29" s="2"/>
      <c r="AZ29" s="5"/>
      <c r="BD29" s="36"/>
      <c r="BE29" s="36"/>
    </row>
    <row r="30" spans="1:78" x14ac:dyDescent="0.25">
      <c r="A30" s="1" t="s">
        <v>106</v>
      </c>
      <c r="B30" s="1" t="s">
        <v>77</v>
      </c>
      <c r="C30" s="96">
        <f>(101615 + 18731) * 1000</f>
        <v>120346000</v>
      </c>
      <c r="D30" s="96">
        <f>(122542 + 395) * 1000</f>
        <v>122937000</v>
      </c>
      <c r="E30" s="3"/>
      <c r="F30" s="3">
        <f>108681000 + 1257000</f>
        <v>109938000</v>
      </c>
      <c r="G30" s="3">
        <f>110110000 + 1593000</f>
        <v>111703000</v>
      </c>
      <c r="H30" s="3"/>
      <c r="I30" s="3">
        <v>11903727</v>
      </c>
      <c r="J30" s="3">
        <v>13087666</v>
      </c>
      <c r="K30" s="3"/>
      <c r="L30" s="3">
        <v>2156401</v>
      </c>
      <c r="M30" s="3">
        <v>2821428</v>
      </c>
      <c r="N30" s="3"/>
      <c r="O30" s="3">
        <v>29976196</v>
      </c>
      <c r="P30" s="3">
        <v>43256540</v>
      </c>
      <c r="Q30" s="3"/>
      <c r="R30" s="3"/>
      <c r="S30" s="10">
        <v>2596403</v>
      </c>
      <c r="T30" s="3"/>
      <c r="U30" s="3"/>
      <c r="V30" s="10">
        <f>26292*V1</f>
        <v>1836496.2</v>
      </c>
      <c r="Y30" s="10">
        <v>1184205</v>
      </c>
      <c r="AB30" s="10">
        <v>1809021</v>
      </c>
      <c r="AE30" s="10">
        <v>2063160</v>
      </c>
      <c r="AH30" s="10">
        <v>1194529</v>
      </c>
      <c r="AK30" s="10">
        <v>290295</v>
      </c>
      <c r="AN30" s="10">
        <v>317083</v>
      </c>
      <c r="AR30" s="1">
        <f>133287+4646</f>
        <v>137933</v>
      </c>
      <c r="AS30" s="2"/>
      <c r="AU30" s="4">
        <f>(40848123+5190449)/1000</f>
        <v>46038.572</v>
      </c>
      <c r="AV30" s="2"/>
      <c r="AW30" s="50"/>
      <c r="AX30" s="4">
        <f>11041929</f>
        <v>11041929</v>
      </c>
      <c r="AY30" s="2"/>
      <c r="AZ30" s="5"/>
      <c r="BA30" s="4">
        <f>2098357</f>
        <v>2098357</v>
      </c>
      <c r="BD30" s="36">
        <v>49110</v>
      </c>
      <c r="BE30" s="36">
        <v>53047</v>
      </c>
      <c r="BG30" s="36">
        <v>45302</v>
      </c>
      <c r="BH30" s="36">
        <v>49068</v>
      </c>
      <c r="BJ30" s="36">
        <v>30954</v>
      </c>
      <c r="BK30" s="36">
        <v>30552</v>
      </c>
      <c r="BM30" s="36">
        <v>27407</v>
      </c>
      <c r="BN30" s="36">
        <v>29620</v>
      </c>
      <c r="BP30" s="36">
        <v>17560</v>
      </c>
      <c r="BQ30" s="36">
        <v>21013</v>
      </c>
      <c r="BS30" s="36">
        <v>16054</v>
      </c>
      <c r="BT30" s="36">
        <v>15814</v>
      </c>
      <c r="BV30" s="36">
        <v>14362</v>
      </c>
      <c r="BW30" s="36">
        <v>17664</v>
      </c>
      <c r="BY30" s="36">
        <v>14348</v>
      </c>
      <c r="BZ30" s="36">
        <v>18252</v>
      </c>
    </row>
    <row r="31" spans="1:78" x14ac:dyDescent="0.25">
      <c r="A31" s="1" t="s">
        <v>79</v>
      </c>
      <c r="B31" s="1" t="s">
        <v>78</v>
      </c>
      <c r="C31" s="3">
        <v>114714000</v>
      </c>
      <c r="D31" s="3">
        <v>108373000</v>
      </c>
      <c r="E31" s="3"/>
      <c r="F31" s="36">
        <v>92235000</v>
      </c>
      <c r="G31" s="36">
        <v>92247000</v>
      </c>
      <c r="H31" s="3"/>
      <c r="I31" s="3">
        <v>11352441</v>
      </c>
      <c r="J31" s="3">
        <v>12256586</v>
      </c>
      <c r="K31" s="3"/>
      <c r="L31" s="3">
        <v>2164598</v>
      </c>
      <c r="M31" s="3">
        <v>3075381</v>
      </c>
      <c r="N31" s="3"/>
      <c r="O31" s="3">
        <f xml:space="preserve"> 27087454 + 138405</f>
        <v>27225859</v>
      </c>
      <c r="P31" s="3">
        <f>39375978 + 422480</f>
        <v>39798458</v>
      </c>
      <c r="Q31" s="3"/>
      <c r="R31" s="3"/>
      <c r="S31" s="10">
        <v>2539703</v>
      </c>
      <c r="T31" s="3"/>
      <c r="U31" s="3"/>
      <c r="V31" s="10">
        <f>26543*V1</f>
        <v>1854028.5499999998</v>
      </c>
      <c r="Y31" s="10">
        <v>1161115</v>
      </c>
      <c r="AB31" s="10">
        <v>1852483</v>
      </c>
      <c r="AE31" s="94" t="s">
        <v>69</v>
      </c>
      <c r="AH31" s="10">
        <v>1128503</v>
      </c>
      <c r="AK31" s="10">
        <v>284263</v>
      </c>
      <c r="AN31" s="94" t="s">
        <v>69</v>
      </c>
      <c r="AR31" s="1">
        <v>140326</v>
      </c>
      <c r="AS31" s="2"/>
      <c r="AU31" s="4">
        <f>(34579252+8305595+2652016)/1000</f>
        <v>45536.862999999998</v>
      </c>
      <c r="AV31" s="2"/>
      <c r="AW31" s="50"/>
      <c r="AX31" s="4">
        <f>11186903</f>
        <v>11186903</v>
      </c>
      <c r="AY31" s="2"/>
      <c r="AZ31" s="5"/>
      <c r="BA31" s="4">
        <f>2091866</f>
        <v>2091866</v>
      </c>
      <c r="BD31" s="36">
        <v>45679</v>
      </c>
      <c r="BE31" s="36">
        <v>58734</v>
      </c>
      <c r="BG31" s="36">
        <v>47619</v>
      </c>
      <c r="BH31" s="36">
        <v>50980</v>
      </c>
      <c r="BJ31" s="36">
        <v>32331</v>
      </c>
      <c r="BK31" s="36">
        <v>31544</v>
      </c>
      <c r="BM31" s="36">
        <v>27637</v>
      </c>
      <c r="BN31" s="36">
        <v>29710</v>
      </c>
      <c r="BP31" s="36">
        <v>16627</v>
      </c>
      <c r="BQ31" s="36">
        <v>21169</v>
      </c>
      <c r="BS31" s="36">
        <f>BS30-378</f>
        <v>15676</v>
      </c>
      <c r="BT31" s="36">
        <f>BT30-27</f>
        <v>15787</v>
      </c>
      <c r="BV31" s="71"/>
      <c r="BW31" s="71"/>
      <c r="BY31" s="36">
        <f>BY30-389</f>
        <v>13959</v>
      </c>
      <c r="BZ31" s="36">
        <f>BZ30-1132</f>
        <v>17120</v>
      </c>
    </row>
    <row r="32" spans="1:78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AS32" s="2"/>
      <c r="AU32" s="5"/>
      <c r="AV32" s="2"/>
      <c r="AW32" s="50"/>
      <c r="AX32" s="49"/>
      <c r="AY32" s="2"/>
      <c r="AZ32" s="5"/>
      <c r="BD32" s="36"/>
      <c r="BE32" s="36"/>
    </row>
    <row r="33" spans="1:81" hidden="1" outlineLevel="1" x14ac:dyDescent="0.25">
      <c r="B33" s="1" t="s">
        <v>38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>
        <v>3903054</v>
      </c>
      <c r="T33" s="3"/>
      <c r="U33" s="3"/>
      <c r="V33" s="15"/>
      <c r="Y33" s="1">
        <v>1721298</v>
      </c>
      <c r="AB33" s="1">
        <v>1473849</v>
      </c>
      <c r="AE33" s="1">
        <v>1704017</v>
      </c>
      <c r="AH33" s="1">
        <v>756219</v>
      </c>
      <c r="AJ33" s="3"/>
      <c r="AK33" s="3">
        <v>605177</v>
      </c>
      <c r="AM33" s="3"/>
      <c r="AN33" s="3">
        <v>0</v>
      </c>
      <c r="AR33" s="15"/>
      <c r="AS33" s="2"/>
      <c r="AU33" s="43"/>
      <c r="AV33" s="2"/>
      <c r="AW33" s="50"/>
      <c r="AX33" s="51"/>
      <c r="AY33" s="2"/>
      <c r="BA33" s="30"/>
      <c r="BD33" s="36"/>
      <c r="BE33" s="36"/>
    </row>
    <row r="34" spans="1:81" hidden="1" outlineLevel="1" x14ac:dyDescent="0.25">
      <c r="B34" s="1" t="s">
        <v>53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>
        <v>4872293</v>
      </c>
      <c r="T34" s="3"/>
      <c r="U34" s="3"/>
      <c r="V34" s="15"/>
      <c r="Y34" s="1">
        <v>2213196</v>
      </c>
      <c r="AB34" s="1">
        <v>1861544</v>
      </c>
      <c r="AE34" s="1">
        <v>2179342</v>
      </c>
      <c r="AH34" s="1">
        <v>1049697</v>
      </c>
      <c r="AJ34" s="3"/>
      <c r="AK34" s="3">
        <v>688190</v>
      </c>
      <c r="AM34" s="3"/>
      <c r="AN34" s="3">
        <v>414540</v>
      </c>
      <c r="AR34" s="15"/>
      <c r="AS34" s="2"/>
      <c r="AU34" s="43"/>
      <c r="AV34" s="2"/>
      <c r="AW34" s="50"/>
      <c r="AX34" s="51"/>
      <c r="AY34" s="2"/>
      <c r="BA34" s="30"/>
      <c r="BD34" s="36"/>
      <c r="BE34" s="36"/>
    </row>
    <row r="35" spans="1:81" hidden="1" outlineLevel="1" x14ac:dyDescent="0.25">
      <c r="B35" s="1" t="s">
        <v>19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>
        <v>22402079</v>
      </c>
      <c r="T35" s="22"/>
      <c r="U35" s="3"/>
      <c r="V35" s="15"/>
      <c r="Y35" s="1">
        <v>13486873.857404022</v>
      </c>
      <c r="AB35" s="1">
        <v>7214869</v>
      </c>
      <c r="AE35" s="1">
        <v>7262052.6491169613</v>
      </c>
      <c r="AH35" s="1">
        <v>6030016</v>
      </c>
      <c r="AJ35" s="3"/>
      <c r="AK35" s="3">
        <v>2368276</v>
      </c>
      <c r="AM35" s="3"/>
      <c r="AN35" s="3">
        <v>1136685</v>
      </c>
      <c r="AR35" s="15"/>
      <c r="AS35" s="2"/>
      <c r="AU35" s="43"/>
      <c r="AV35" s="2"/>
      <c r="AW35" s="50"/>
      <c r="AX35" s="51"/>
      <c r="AY35" s="2"/>
      <c r="BA35" s="30"/>
      <c r="BD35" s="36"/>
      <c r="BE35" s="36"/>
    </row>
    <row r="36" spans="1:81" hidden="1" outlineLevel="1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AJ36" s="3"/>
      <c r="AK36" s="3"/>
      <c r="AM36" s="3"/>
      <c r="AN36" s="3"/>
      <c r="AS36" s="2"/>
      <c r="AU36" s="5"/>
      <c r="AV36" s="2"/>
      <c r="AW36" s="50"/>
      <c r="AX36" s="49"/>
      <c r="AY36" s="2"/>
      <c r="BD36" s="36"/>
      <c r="BE36" s="36"/>
    </row>
    <row r="37" spans="1:81" hidden="1" outlineLevel="1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AJ37" s="3"/>
      <c r="AK37" s="3"/>
      <c r="AM37" s="3"/>
      <c r="AN37" s="3"/>
      <c r="AS37" s="2"/>
      <c r="AU37" s="5"/>
      <c r="AV37" s="2"/>
      <c r="AW37" s="50"/>
      <c r="AX37" s="49"/>
      <c r="AY37" s="2"/>
      <c r="BD37" s="36"/>
      <c r="BE37" s="36"/>
    </row>
    <row r="38" spans="1:81" collapsed="1" x14ac:dyDescent="0.25">
      <c r="A38" s="1" t="s">
        <v>81</v>
      </c>
      <c r="B38" s="1" t="s">
        <v>26</v>
      </c>
      <c r="C38" s="22">
        <v>0.188</v>
      </c>
      <c r="D38" s="22">
        <v>0.16200000000000001</v>
      </c>
      <c r="E38" s="3"/>
      <c r="F38" s="22">
        <v>0.13300000000000001</v>
      </c>
      <c r="G38" s="22">
        <v>0.10100000000000001</v>
      </c>
      <c r="H38" s="3"/>
      <c r="I38" s="22">
        <v>0.159</v>
      </c>
      <c r="J38" s="22">
        <v>0.14299999999999999</v>
      </c>
      <c r="K38" s="22"/>
      <c r="L38" s="22">
        <v>1.02</v>
      </c>
      <c r="M38" s="22">
        <v>1.0069999999999999</v>
      </c>
      <c r="N38" s="22"/>
      <c r="O38" s="97" t="s">
        <v>123</v>
      </c>
      <c r="P38" s="97" t="s">
        <v>123</v>
      </c>
      <c r="Q38" s="22"/>
      <c r="R38" s="22"/>
      <c r="S38" s="22">
        <v>0.17422731167049271</v>
      </c>
      <c r="T38" s="3"/>
      <c r="U38" s="27"/>
      <c r="V38" s="27">
        <v>0.27</v>
      </c>
      <c r="X38" s="22"/>
      <c r="Y38" s="22">
        <v>0.12759999999999999</v>
      </c>
      <c r="AA38" s="22"/>
      <c r="AB38" s="22">
        <v>0.20427938469846091</v>
      </c>
      <c r="AD38" s="22"/>
      <c r="AE38" s="22">
        <v>0.2346</v>
      </c>
      <c r="AG38" s="22"/>
      <c r="AH38" s="22">
        <v>0.12540911997580106</v>
      </c>
      <c r="AJ38" s="35"/>
      <c r="AK38" s="35">
        <v>0.25553482786634668</v>
      </c>
      <c r="AM38" s="35"/>
      <c r="AN38" s="35">
        <v>0</v>
      </c>
      <c r="AR38" s="5">
        <v>0.1152</v>
      </c>
      <c r="AS38" s="2"/>
      <c r="AU38" s="5">
        <v>9.9699999999999997E-2</v>
      </c>
      <c r="AV38" s="2"/>
      <c r="AW38" s="50"/>
      <c r="AX38" s="49">
        <v>8.5999999999999993E-2</v>
      </c>
      <c r="AY38" s="2"/>
      <c r="BA38" s="6">
        <v>0.1711</v>
      </c>
      <c r="BD38" s="76" t="s">
        <v>69</v>
      </c>
      <c r="BE38" s="76" t="s">
        <v>69</v>
      </c>
      <c r="BG38" s="76" t="s">
        <v>69</v>
      </c>
      <c r="BH38" s="76" t="s">
        <v>69</v>
      </c>
      <c r="BJ38" s="76" t="s">
        <v>69</v>
      </c>
      <c r="BK38" s="76" t="s">
        <v>69</v>
      </c>
      <c r="BM38" s="76" t="s">
        <v>69</v>
      </c>
      <c r="BN38" s="76" t="s">
        <v>69</v>
      </c>
      <c r="BP38" s="76" t="s">
        <v>69</v>
      </c>
      <c r="BQ38" s="76" t="s">
        <v>69</v>
      </c>
      <c r="BS38" s="76" t="s">
        <v>69</v>
      </c>
      <c r="BT38" s="76" t="s">
        <v>69</v>
      </c>
      <c r="BV38" s="76" t="s">
        <v>69</v>
      </c>
      <c r="BW38" s="76" t="s">
        <v>69</v>
      </c>
      <c r="BY38" s="76" t="s">
        <v>69</v>
      </c>
      <c r="BZ38" s="76" t="s">
        <v>69</v>
      </c>
    </row>
    <row r="39" spans="1:81" x14ac:dyDescent="0.25">
      <c r="A39" s="1" t="s">
        <v>81</v>
      </c>
      <c r="B39" s="1" t="s">
        <v>27</v>
      </c>
      <c r="C39" s="22">
        <v>0.20799999999999999</v>
      </c>
      <c r="D39" s="22">
        <v>0.17799999999999999</v>
      </c>
      <c r="E39" s="3"/>
      <c r="F39" s="22">
        <v>0.214</v>
      </c>
      <c r="G39" s="22">
        <v>0.17199999999999999</v>
      </c>
      <c r="H39" s="3"/>
      <c r="I39" s="22">
        <v>0.19400000000000001</v>
      </c>
      <c r="J39" s="22">
        <v>0.17699999999999999</v>
      </c>
      <c r="K39" s="22"/>
      <c r="L39" s="22">
        <v>1.02</v>
      </c>
      <c r="M39" s="22">
        <v>1.0069999999999999</v>
      </c>
      <c r="N39" s="22"/>
      <c r="O39" s="22">
        <v>0.2107</v>
      </c>
      <c r="P39" s="22">
        <v>0.22589999999999999</v>
      </c>
      <c r="Q39" s="22"/>
      <c r="R39" s="22"/>
      <c r="S39" s="22">
        <v>0.21749289429789084</v>
      </c>
      <c r="T39" s="22"/>
      <c r="U39" s="27"/>
      <c r="V39" s="27">
        <v>0.28899999999999998</v>
      </c>
      <c r="X39" s="22"/>
      <c r="Y39" s="22">
        <v>0.1641</v>
      </c>
      <c r="AA39" s="22"/>
      <c r="AB39" s="22">
        <v>0.25801494108902046</v>
      </c>
      <c r="AD39" s="22"/>
      <c r="AE39" s="22">
        <v>0.30009999999999998</v>
      </c>
      <c r="AG39" s="22"/>
      <c r="AH39" s="22">
        <v>0.17407864257739947</v>
      </c>
      <c r="AJ39" s="35"/>
      <c r="AK39" s="35">
        <v>0.29058690794485104</v>
      </c>
      <c r="AM39" s="35"/>
      <c r="AN39" s="35">
        <v>0.36469206508399427</v>
      </c>
      <c r="AR39" s="5">
        <v>0.19639999999999999</v>
      </c>
      <c r="AS39" s="2"/>
      <c r="AU39" s="5">
        <v>0.14610000000000001</v>
      </c>
      <c r="AV39" s="2"/>
      <c r="AW39" s="49"/>
      <c r="AX39" s="49">
        <v>0.1123</v>
      </c>
      <c r="AY39" s="2"/>
      <c r="AZ39" s="5"/>
      <c r="BA39" s="6">
        <v>0.20580000000000001</v>
      </c>
      <c r="BD39" s="14">
        <v>0.127</v>
      </c>
      <c r="BE39" s="14">
        <v>0.13700000000000001</v>
      </c>
      <c r="BG39" s="14">
        <v>0.12609999999999999</v>
      </c>
      <c r="BH39" s="14">
        <v>0.13</v>
      </c>
      <c r="BI39" s="72"/>
      <c r="BJ39" s="14">
        <v>0.1648</v>
      </c>
      <c r="BK39" s="14">
        <v>0.15840000000000001</v>
      </c>
      <c r="BL39" s="72"/>
      <c r="BM39" s="14">
        <v>0.14269999999999999</v>
      </c>
      <c r="BN39" s="14">
        <v>0.1386</v>
      </c>
      <c r="BO39" s="72"/>
      <c r="BP39" s="14">
        <v>0.14380000000000001</v>
      </c>
      <c r="BQ39" s="14">
        <v>0.1434</v>
      </c>
      <c r="BR39" s="72"/>
      <c r="BS39" s="14">
        <v>0.15429999999999999</v>
      </c>
      <c r="BT39" s="14">
        <v>0.16209999999999999</v>
      </c>
      <c r="BU39" s="72"/>
      <c r="BV39" s="14">
        <v>0.16270000000000001</v>
      </c>
      <c r="BW39" s="14">
        <v>0.15409999999999999</v>
      </c>
      <c r="BX39" s="72"/>
      <c r="BY39" s="14">
        <v>0.1507</v>
      </c>
      <c r="BZ39" s="14">
        <v>0.15809999999999999</v>
      </c>
      <c r="CA39" s="72"/>
      <c r="CB39" s="72"/>
      <c r="CC39" s="73"/>
    </row>
    <row r="40" spans="1:81" x14ac:dyDescent="0.25">
      <c r="A40" s="1" t="s">
        <v>81</v>
      </c>
      <c r="B40" s="7" t="s">
        <v>29</v>
      </c>
      <c r="C40" s="28">
        <v>0.06</v>
      </c>
      <c r="D40" s="28">
        <v>6.5000000000000002E-2</v>
      </c>
      <c r="E40" s="3"/>
      <c r="F40" s="28">
        <v>0.06</v>
      </c>
      <c r="G40" s="28">
        <v>6.5000000000000002E-2</v>
      </c>
      <c r="H40" s="3"/>
      <c r="I40" s="28">
        <v>0.06</v>
      </c>
      <c r="J40" s="28">
        <v>6.5000000000000002E-2</v>
      </c>
      <c r="K40" s="28"/>
      <c r="L40" s="28">
        <v>8.5000000000000006E-2</v>
      </c>
      <c r="M40" s="28">
        <v>8.5000000000000006E-2</v>
      </c>
      <c r="N40" s="28"/>
      <c r="O40" s="97" t="s">
        <v>123</v>
      </c>
      <c r="P40" s="97" t="s">
        <v>123</v>
      </c>
      <c r="Q40" s="28"/>
      <c r="R40" s="28"/>
      <c r="S40" s="28">
        <v>0.06</v>
      </c>
      <c r="T40" s="8"/>
      <c r="U40" s="28"/>
      <c r="V40" s="28">
        <v>0.06</v>
      </c>
      <c r="W40" s="7"/>
      <c r="X40" s="28"/>
      <c r="Y40" s="28">
        <v>0.06</v>
      </c>
      <c r="Z40" s="7"/>
      <c r="AA40" s="28"/>
      <c r="AB40" s="28">
        <v>0.06</v>
      </c>
      <c r="AC40" s="7"/>
      <c r="AD40" s="28"/>
      <c r="AE40" s="28">
        <v>0.06</v>
      </c>
      <c r="AF40" s="7"/>
      <c r="AG40" s="28"/>
      <c r="AH40" s="28">
        <v>0.06</v>
      </c>
      <c r="AI40" s="7"/>
      <c r="AJ40" s="28"/>
      <c r="AK40" s="28">
        <v>0.06</v>
      </c>
      <c r="AL40" s="7"/>
      <c r="AM40" s="28"/>
      <c r="AN40" s="46">
        <v>0</v>
      </c>
      <c r="AO40" s="7"/>
      <c r="AP40" s="7"/>
      <c r="AQ40" s="7"/>
      <c r="AR40" s="9">
        <v>8.5000000000000006E-2</v>
      </c>
      <c r="AS40" s="2"/>
      <c r="AT40" s="9"/>
      <c r="AU40" s="9">
        <v>8.5000000000000006E-2</v>
      </c>
      <c r="AV40" s="2"/>
      <c r="AW40" s="52"/>
      <c r="AX40" s="52">
        <v>8.5000000000000006E-2</v>
      </c>
      <c r="AY40" s="2"/>
      <c r="AZ40" s="9"/>
      <c r="BA40" s="9">
        <v>8.5000000000000006E-2</v>
      </c>
      <c r="BD40" s="76" t="s">
        <v>69</v>
      </c>
      <c r="BE40" s="76" t="s">
        <v>69</v>
      </c>
      <c r="BG40" s="76" t="s">
        <v>69</v>
      </c>
      <c r="BH40" s="76" t="s">
        <v>69</v>
      </c>
      <c r="BJ40" s="76" t="s">
        <v>69</v>
      </c>
      <c r="BK40" s="76" t="s">
        <v>69</v>
      </c>
      <c r="BM40" s="76" t="s">
        <v>69</v>
      </c>
      <c r="BN40" s="76" t="s">
        <v>69</v>
      </c>
      <c r="BP40" s="76" t="s">
        <v>69</v>
      </c>
      <c r="BQ40" s="76" t="s">
        <v>69</v>
      </c>
      <c r="BS40" s="76" t="s">
        <v>69</v>
      </c>
      <c r="BT40" s="76" t="s">
        <v>69</v>
      </c>
      <c r="BV40" s="76" t="s">
        <v>69</v>
      </c>
      <c r="BW40" s="76" t="s">
        <v>69</v>
      </c>
      <c r="BY40" s="76" t="s">
        <v>69</v>
      </c>
      <c r="BZ40" s="76" t="s">
        <v>69</v>
      </c>
    </row>
    <row r="41" spans="1:81" x14ac:dyDescent="0.25">
      <c r="A41" s="1" t="s">
        <v>81</v>
      </c>
      <c r="B41" s="7" t="s">
        <v>30</v>
      </c>
      <c r="C41" s="28">
        <v>7.4999999999999997E-2</v>
      </c>
      <c r="D41" s="28">
        <v>0.08</v>
      </c>
      <c r="E41" s="3"/>
      <c r="F41" s="28">
        <v>7.4999999999999997E-2</v>
      </c>
      <c r="G41" s="28">
        <v>0.08</v>
      </c>
      <c r="H41" s="3"/>
      <c r="I41" s="28">
        <v>7.4999999999999997E-2</v>
      </c>
      <c r="J41" s="28">
        <v>0.08</v>
      </c>
      <c r="K41" s="28"/>
      <c r="L41" s="28">
        <v>0.1</v>
      </c>
      <c r="M41" s="28">
        <v>0.1</v>
      </c>
      <c r="N41" s="28"/>
      <c r="O41" s="97" t="s">
        <v>123</v>
      </c>
      <c r="P41" s="97" t="s">
        <v>123</v>
      </c>
      <c r="Q41" s="28"/>
      <c r="R41" s="28"/>
      <c r="S41" s="28">
        <v>0.12</v>
      </c>
      <c r="T41" s="8"/>
      <c r="U41" s="28"/>
      <c r="V41" s="28">
        <v>0.12</v>
      </c>
      <c r="W41" s="7"/>
      <c r="X41" s="28"/>
      <c r="Y41" s="28">
        <v>0.12</v>
      </c>
      <c r="Z41" s="7"/>
      <c r="AA41" s="28"/>
      <c r="AB41" s="28">
        <v>0.12</v>
      </c>
      <c r="AC41" s="7"/>
      <c r="AD41" s="28"/>
      <c r="AE41" s="28">
        <v>0.12</v>
      </c>
      <c r="AF41" s="7"/>
      <c r="AG41" s="28"/>
      <c r="AH41" s="28">
        <v>0.12</v>
      </c>
      <c r="AI41" s="7"/>
      <c r="AJ41" s="28"/>
      <c r="AK41" s="28">
        <v>0.12</v>
      </c>
      <c r="AL41" s="7"/>
      <c r="AM41" s="28"/>
      <c r="AN41" s="66">
        <v>0.08</v>
      </c>
      <c r="AO41" s="7"/>
      <c r="AP41" s="7"/>
      <c r="AQ41" s="7"/>
      <c r="AR41" s="9">
        <v>0.105</v>
      </c>
      <c r="AS41" s="2"/>
      <c r="AT41" s="9"/>
      <c r="AU41" s="9">
        <v>0.105</v>
      </c>
      <c r="AV41" s="2"/>
      <c r="AW41" s="52"/>
      <c r="AX41" s="52">
        <v>0.105</v>
      </c>
      <c r="AY41" s="2"/>
      <c r="AZ41" s="9"/>
      <c r="BA41" s="9">
        <v>0.105</v>
      </c>
      <c r="BD41" s="36"/>
      <c r="BE41" s="38">
        <v>0.12</v>
      </c>
      <c r="BH41" s="38">
        <v>0.12</v>
      </c>
      <c r="BK41" s="38">
        <v>0.12</v>
      </c>
      <c r="BN41" s="38">
        <v>0.12</v>
      </c>
      <c r="BQ41" s="38">
        <v>0.12</v>
      </c>
      <c r="BT41" s="38">
        <v>0.12</v>
      </c>
      <c r="BW41" s="38">
        <v>0.12</v>
      </c>
      <c r="BZ41" s="38">
        <v>0.12</v>
      </c>
    </row>
    <row r="42" spans="1:81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AG42" s="35"/>
      <c r="AH42" s="35"/>
      <c r="AS42" s="2"/>
      <c r="AU42" s="5"/>
      <c r="AV42" s="2"/>
      <c r="AW42" s="49"/>
      <c r="AX42" s="49"/>
      <c r="AY42" s="2"/>
      <c r="AZ42" s="5"/>
      <c r="BD42" s="36"/>
      <c r="BE42" s="36"/>
    </row>
    <row r="43" spans="1:81" x14ac:dyDescent="0.25">
      <c r="A43" s="1" t="s">
        <v>80</v>
      </c>
      <c r="B43" s="1" t="s">
        <v>35</v>
      </c>
      <c r="C43" s="1">
        <f>(6740 + 101769) * 1000</f>
        <v>108509000</v>
      </c>
      <c r="D43" s="1">
        <f>(2279 + 117540) * 1000</f>
        <v>119819000</v>
      </c>
      <c r="E43" s="3"/>
      <c r="F43" s="1">
        <f>(712 + 72792) * 1000</f>
        <v>73504000</v>
      </c>
      <c r="G43" s="1">
        <f>(1211 + 82111) * 1000</f>
        <v>83322000</v>
      </c>
      <c r="H43" s="3"/>
      <c r="I43" s="1">
        <f xml:space="preserve"> 133801 + 1596710</f>
        <v>1730511</v>
      </c>
      <c r="J43" s="36">
        <f xml:space="preserve"> 3000 + 133801 + 2650440</f>
        <v>2787241</v>
      </c>
      <c r="L43" s="1">
        <f xml:space="preserve"> 73012 + 152970</f>
        <v>225982</v>
      </c>
      <c r="M43" s="36">
        <f>43426 + 494529 + 15513 + 339485</f>
        <v>892953</v>
      </c>
      <c r="O43" s="1">
        <f xml:space="preserve"> 23995 + 299712</f>
        <v>323707</v>
      </c>
      <c r="P43" s="36">
        <f xml:space="preserve"> 147867 + 119538 + 415800</f>
        <v>683205</v>
      </c>
      <c r="S43" s="1">
        <v>433784</v>
      </c>
      <c r="V43" s="1">
        <f xml:space="preserve"> (26028 + 2536) * V1</f>
        <v>1995195.4</v>
      </c>
      <c r="Y43" s="1">
        <v>706899</v>
      </c>
      <c r="AB43" s="1">
        <v>76483</v>
      </c>
      <c r="AE43" s="1">
        <f xml:space="preserve"> 62540 + 32912</f>
        <v>95452</v>
      </c>
      <c r="AH43" s="1">
        <f xml:space="preserve"> 179235 + 56559</f>
        <v>235794</v>
      </c>
      <c r="AK43" s="1">
        <v>17282</v>
      </c>
      <c r="AN43" s="1">
        <v>17389</v>
      </c>
      <c r="AR43" s="1">
        <f>2275+8139</f>
        <v>10414</v>
      </c>
      <c r="AU43" s="1">
        <f>(7311932+7036447+410402)/1000</f>
        <v>14758.781000000001</v>
      </c>
      <c r="AX43" s="1">
        <f>(386828+750328+510371+293363)</f>
        <v>1940890</v>
      </c>
      <c r="BA43" s="1">
        <f>27100+336259+80247</f>
        <v>443606</v>
      </c>
      <c r="BD43" s="36">
        <v>6657</v>
      </c>
      <c r="BE43" s="36">
        <v>8086</v>
      </c>
      <c r="BG43" s="36">
        <v>13075</v>
      </c>
      <c r="BH43" s="36">
        <v>13054</v>
      </c>
      <c r="BJ43" s="36">
        <v>2682</v>
      </c>
      <c r="BK43" s="36">
        <v>4177</v>
      </c>
      <c r="BM43" s="36">
        <v>4535</v>
      </c>
      <c r="BN43" s="36">
        <v>5274</v>
      </c>
      <c r="BP43" s="36">
        <v>3836</v>
      </c>
      <c r="BQ43" s="36">
        <v>4500</v>
      </c>
      <c r="BV43" s="36">
        <v>2097</v>
      </c>
      <c r="BW43" s="36">
        <v>2243</v>
      </c>
      <c r="BY43" s="36">
        <v>1048</v>
      </c>
      <c r="BZ43" s="36">
        <v>1343</v>
      </c>
    </row>
    <row r="44" spans="1:81" x14ac:dyDescent="0.25">
      <c r="D44" s="3"/>
      <c r="E44" s="3"/>
      <c r="F44" s="3"/>
      <c r="H44" s="3"/>
      <c r="I44" s="3"/>
      <c r="J44" s="3"/>
      <c r="L44" s="3"/>
      <c r="M44" s="3"/>
      <c r="O44" s="3"/>
      <c r="P44" s="3"/>
      <c r="BD44" s="36"/>
      <c r="BE44" s="36"/>
    </row>
    <row r="45" spans="1:81" x14ac:dyDescent="0.25">
      <c r="A45" s="1" t="s">
        <v>80</v>
      </c>
      <c r="B45" s="1" t="s">
        <v>56</v>
      </c>
      <c r="C45" s="1">
        <v>151595000</v>
      </c>
      <c r="D45" s="1">
        <v>156459000</v>
      </c>
      <c r="E45" s="3"/>
      <c r="F45" s="1">
        <v>187235000</v>
      </c>
      <c r="G45" s="1">
        <v>216080000</v>
      </c>
      <c r="H45" s="3"/>
      <c r="I45" s="1">
        <v>7143488</v>
      </c>
      <c r="J45" s="1">
        <v>1627868</v>
      </c>
      <c r="L45" s="1">
        <v>1081803</v>
      </c>
      <c r="M45" s="1">
        <v>1144694</v>
      </c>
      <c r="S45" s="1">
        <f>10198947</f>
        <v>10198947</v>
      </c>
      <c r="V45" s="1">
        <f xml:space="preserve"> (80557 + 8405) * V1</f>
        <v>6213995.6999999993</v>
      </c>
      <c r="Y45" s="1">
        <f xml:space="preserve"> 3420518 + 69200</f>
        <v>3489718</v>
      </c>
      <c r="AB45" s="1">
        <f xml:space="preserve"> 0.0304718162890837 * AB6</f>
        <v>205798.72454423615</v>
      </c>
      <c r="AE45" s="1">
        <f xml:space="preserve"> 430451 + 9919</f>
        <v>440370</v>
      </c>
      <c r="AH45" s="1">
        <v>894958</v>
      </c>
      <c r="AK45" s="1">
        <v>484444</v>
      </c>
      <c r="AM45" s="3"/>
      <c r="AN45" s="3">
        <v>0</v>
      </c>
      <c r="AR45" s="1">
        <f>709045-403778</f>
        <v>305267</v>
      </c>
      <c r="AU45" s="1">
        <f>(252761437+86022149-173894971-83913231)/1000</f>
        <v>80975.384000000005</v>
      </c>
      <c r="AX45" s="1">
        <v>2349457</v>
      </c>
      <c r="BA45" s="1">
        <f>10300229-10272723</f>
        <v>27506</v>
      </c>
      <c r="BD45" s="36">
        <v>391169</v>
      </c>
      <c r="BE45" s="15">
        <v>431686</v>
      </c>
      <c r="BH45" s="36">
        <v>270771</v>
      </c>
      <c r="BK45" s="36">
        <v>55729</v>
      </c>
      <c r="BN45" s="36">
        <v>104380</v>
      </c>
      <c r="BQ45" s="36">
        <v>129567</v>
      </c>
      <c r="BT45" s="36">
        <f>76959+7751+3</f>
        <v>84713</v>
      </c>
      <c r="BW45" s="36">
        <v>62535</v>
      </c>
      <c r="BZ45" s="36">
        <v>58366</v>
      </c>
    </row>
    <row r="46" spans="1:81" x14ac:dyDescent="0.25">
      <c r="A46" s="1" t="s">
        <v>80</v>
      </c>
      <c r="B46" s="1" t="s">
        <v>57</v>
      </c>
      <c r="C46" s="1">
        <f>155994.96990919*1000</f>
        <v>155994969.90919</v>
      </c>
      <c r="D46" s="3">
        <v>167382491.74545917</v>
      </c>
      <c r="E46" s="3"/>
      <c r="F46" s="1">
        <f>348163.727841464*1000</f>
        <v>348163727.84146398</v>
      </c>
      <c r="G46" s="3">
        <v>401846441.26947212</v>
      </c>
      <c r="H46" s="3"/>
      <c r="I46" s="1">
        <f>13383266680.25/1000</f>
        <v>13383266.68025</v>
      </c>
      <c r="J46" s="3">
        <f>10955060520.67/1000</f>
        <v>10955060.52067</v>
      </c>
      <c r="L46" s="1">
        <v>8512977.4759999998</v>
      </c>
      <c r="M46" s="3">
        <f>6736062395.77 / 1000</f>
        <v>6736062.3957700003</v>
      </c>
      <c r="P46" s="3"/>
      <c r="S46" s="15"/>
      <c r="V46" s="15"/>
      <c r="Y46" s="15"/>
      <c r="AB46" s="15"/>
      <c r="AE46" s="15"/>
      <c r="AH46" s="15"/>
      <c r="AK46" s="15"/>
      <c r="AM46" s="3"/>
      <c r="AN46" s="15">
        <v>0</v>
      </c>
      <c r="AR46" s="15"/>
      <c r="AU46" s="15"/>
      <c r="AX46" s="1">
        <v>13326246.177235886</v>
      </c>
      <c r="BA46" s="30"/>
      <c r="BD46" s="36"/>
      <c r="BE46" s="36">
        <v>206403</v>
      </c>
      <c r="BH46" s="36">
        <v>180057</v>
      </c>
      <c r="BJ46" s="36">
        <v>32060</v>
      </c>
      <c r="BK46" s="36">
        <v>26477</v>
      </c>
      <c r="BN46" s="36">
        <v>46669</v>
      </c>
      <c r="BQ46" s="36">
        <v>38443</v>
      </c>
      <c r="BT46" s="71"/>
      <c r="BW46" s="36">
        <v>52085</v>
      </c>
      <c r="BY46" s="36">
        <v>30665</v>
      </c>
      <c r="BZ46" s="36">
        <v>33276</v>
      </c>
    </row>
    <row r="47" spans="1:81" x14ac:dyDescent="0.25">
      <c r="D47" s="3"/>
      <c r="E47" s="3"/>
      <c r="F47" s="3"/>
      <c r="H47" s="3"/>
      <c r="I47" s="3"/>
      <c r="J47" s="3"/>
      <c r="L47" s="3"/>
      <c r="M47" s="3"/>
      <c r="O47" s="3"/>
      <c r="P47" s="3"/>
      <c r="BD47" s="36"/>
      <c r="BE47" s="36"/>
    </row>
    <row r="48" spans="1:81" x14ac:dyDescent="0.25">
      <c r="A48" s="1" t="s">
        <v>80</v>
      </c>
      <c r="B48" s="1" t="s">
        <v>58</v>
      </c>
      <c r="C48" s="1">
        <f>231836000 + 9000 + 104353000 + 1428000 + 77000</f>
        <v>337703000</v>
      </c>
      <c r="D48" s="10">
        <f>224121000 + 9511000 + 86423000</f>
        <v>320055000</v>
      </c>
      <c r="E48" s="3"/>
      <c r="F48" s="1">
        <f xml:space="preserve"> (32933 + 149984 + 1328 + 187714 + 659 + 151 + 3171) *1000</f>
        <v>375940000</v>
      </c>
      <c r="G48" s="10">
        <f>(3910 + 41594 + 170719 + 7987 + 169249 + 1082 + 160 + 3704) * 1000</f>
        <v>398405000</v>
      </c>
      <c r="H48" s="3"/>
      <c r="I48" s="1">
        <v>32458768</v>
      </c>
      <c r="J48" s="10">
        <v>43919016</v>
      </c>
      <c r="L48" s="1">
        <v>12318760</v>
      </c>
      <c r="M48" s="10">
        <v>24882525</v>
      </c>
      <c r="O48" s="1">
        <v>5720727</v>
      </c>
      <c r="P48" s="10">
        <v>7158499</v>
      </c>
      <c r="S48" s="10">
        <f xml:space="preserve"> 10064487 + 57266</f>
        <v>10121753</v>
      </c>
      <c r="V48" s="10">
        <f xml:space="preserve"> (102868 + 5717) * V1</f>
        <v>7584662.2499999991</v>
      </c>
      <c r="Y48" s="10">
        <f xml:space="preserve"> 7552452 + 80386</f>
        <v>7632838</v>
      </c>
      <c r="AB48" s="10">
        <f xml:space="preserve"> 512709 + 622842</f>
        <v>1135551</v>
      </c>
      <c r="AE48" s="10">
        <f xml:space="preserve"> 4495 + 653867</f>
        <v>658362</v>
      </c>
      <c r="AH48" s="10">
        <f xml:space="preserve"> 693962 + 205040 + 49714</f>
        <v>948716</v>
      </c>
      <c r="AK48" s="10">
        <f xml:space="preserve"> 707467 + 1317 + 4451</f>
        <v>713235</v>
      </c>
      <c r="AN48" s="3">
        <v>70383</v>
      </c>
      <c r="AR48" s="1">
        <f>1162779+3433+7091+166848</f>
        <v>1340151</v>
      </c>
      <c r="AU48" s="1">
        <f>(37189219+80647485+72531337+1317895+10174750+29855787)/1000</f>
        <v>231716.473</v>
      </c>
      <c r="AX48" s="1">
        <f>8712015+9708809</f>
        <v>18420824</v>
      </c>
      <c r="BA48" s="1">
        <f>3102311+6451092</f>
        <v>9553403</v>
      </c>
      <c r="BD48" s="36"/>
      <c r="BE48" s="36">
        <v>152661</v>
      </c>
      <c r="BH48" s="36">
        <v>115054</v>
      </c>
      <c r="BK48" s="36">
        <v>62129</v>
      </c>
      <c r="BN48" s="36">
        <v>45436</v>
      </c>
      <c r="BQ48" s="36">
        <v>63049</v>
      </c>
      <c r="BT48" s="36">
        <f>38633</f>
        <v>38633</v>
      </c>
      <c r="BW48" s="36">
        <v>66550</v>
      </c>
      <c r="BZ48" s="36">
        <f>48756</f>
        <v>48756</v>
      </c>
    </row>
    <row r="49" spans="1:78" x14ac:dyDescent="0.25">
      <c r="A49" s="1" t="s">
        <v>80</v>
      </c>
      <c r="B49" s="1" t="s">
        <v>59</v>
      </c>
      <c r="C49" s="1">
        <f>C48 - 1401000 - 36704000 - 1697000 - 25000 - 7109000</f>
        <v>290767000</v>
      </c>
      <c r="D49" s="10">
        <f>D48 - 946000 - 56439000 - 1515000 - 25000 - 5997000</f>
        <v>255133000</v>
      </c>
      <c r="E49" s="10"/>
      <c r="F49" s="1">
        <f>F48 - 9199000 - 36023000 - 67000 - 1441000 - 12014000</f>
        <v>317196000</v>
      </c>
      <c r="G49" s="10">
        <f>G48 - 12668000 - 32335000 - 166000 - 10201000 - 14810000</f>
        <v>328225000</v>
      </c>
      <c r="I49" s="1">
        <f>I48 - 203089</f>
        <v>32255679</v>
      </c>
      <c r="J49" s="10">
        <f>J48 - 4442451</f>
        <v>39476565</v>
      </c>
      <c r="L49" s="1">
        <f>L48 - 249717 - 50599 - 188737</f>
        <v>11829707</v>
      </c>
      <c r="M49" s="10">
        <f>M48 - 1498027 - 95935 - 389249</f>
        <v>22899314</v>
      </c>
      <c r="O49" s="36">
        <f>O48 - 3111375</f>
        <v>2609352</v>
      </c>
      <c r="P49" s="1">
        <f>P48-3049225</f>
        <v>4109274</v>
      </c>
      <c r="S49" s="10">
        <f xml:space="preserve"> S48 - 937 - 257190 - 86561 - 178324</f>
        <v>9598741</v>
      </c>
      <c r="V49" s="10">
        <f xml:space="preserve"> V48 - (4780 + 4498 + 6109) * V1</f>
        <v>6509880.2999999989</v>
      </c>
      <c r="Y49" s="10">
        <f xml:space="preserve"> Y48 - 38701 - 21432 - 123908</f>
        <v>7448797</v>
      </c>
      <c r="AB49" s="10">
        <f xml:space="preserve"> AB48 - 42184 - 147726</f>
        <v>945641</v>
      </c>
      <c r="AE49" s="10">
        <f xml:space="preserve"> AE48 - 6945 - 89157 - 38777</f>
        <v>523483</v>
      </c>
      <c r="AH49" s="10">
        <f xml:space="preserve"> AH48 - 59932 - 69691 - 6578</f>
        <v>812515</v>
      </c>
      <c r="AK49" s="10">
        <f xml:space="preserve"> AK48 - 89543 - 23 - 22791</f>
        <v>600878</v>
      </c>
      <c r="AN49" s="3">
        <f xml:space="preserve"> AN48 - 226</f>
        <v>70157</v>
      </c>
      <c r="AR49" s="1">
        <f>AR48-423502-9013</f>
        <v>907636</v>
      </c>
      <c r="AU49" s="1">
        <f>AU48-(146333407+12116270+328748+1076967+2913037)/1000</f>
        <v>68948.043999999994</v>
      </c>
      <c r="AX49" s="1">
        <f>AX48-250009-55397-32203</f>
        <v>18083215</v>
      </c>
      <c r="BA49" s="1">
        <f>BA48-939-43472-204157</f>
        <v>9304835</v>
      </c>
      <c r="BD49" s="36"/>
      <c r="BE49" s="36">
        <f>BE48-52987</f>
        <v>99674</v>
      </c>
      <c r="BH49" s="36">
        <f>BH48-84006</f>
        <v>31048</v>
      </c>
      <c r="BK49" s="36">
        <f>BK48-7726</f>
        <v>54403</v>
      </c>
      <c r="BN49" s="36">
        <f>BN48-6358</f>
        <v>39078</v>
      </c>
      <c r="BQ49" s="36">
        <f>BQ48-17119</f>
        <v>45930</v>
      </c>
      <c r="BT49" s="36">
        <f>BT48-6800</f>
        <v>31833</v>
      </c>
      <c r="BW49" s="36">
        <f>BW48-41454</f>
        <v>25096</v>
      </c>
      <c r="BZ49" s="36">
        <f>BZ48-37454</f>
        <v>11302</v>
      </c>
    </row>
    <row r="50" spans="1:78" x14ac:dyDescent="0.25">
      <c r="A50" s="1" t="s">
        <v>80</v>
      </c>
      <c r="B50" s="1" t="s">
        <v>75</v>
      </c>
      <c r="C50" s="1">
        <f>(1401 + 1767 + 9084 + 36704 + 1697 + 156 + 18661 + 25 + 1674) * 1000</f>
        <v>71169000</v>
      </c>
      <c r="D50" s="1">
        <f>(946 + 2620 + 9068 + 56439 + 1515 + 156 + 21538 + 25 + 1674) * 1000</f>
        <v>93981000</v>
      </c>
      <c r="F50" s="1">
        <f>(36023 + 127 + 9041 + 67 + 213 + 409 + 6407 + 1441) * 1000</f>
        <v>53728000</v>
      </c>
      <c r="G50" s="1">
        <f xml:space="preserve"> (32335 + 1567 + 19360 + 1107 + 21271 + 550 + 12463 + 10201) * 1000</f>
        <v>98854000</v>
      </c>
      <c r="I50" s="1">
        <v>3738110</v>
      </c>
      <c r="J50" s="1">
        <v>3317225</v>
      </c>
      <c r="L50" s="1">
        <f>249717 + 50599</f>
        <v>300316</v>
      </c>
      <c r="M50" s="1">
        <f xml:space="preserve"> 1498027 + 95935 + 714106</f>
        <v>2308068</v>
      </c>
      <c r="O50" s="1">
        <f>3044722 + 8225239 + 8000239 + 23894662</f>
        <v>43164862</v>
      </c>
      <c r="P50" s="1">
        <f>2864305 + 7795792 + 17999161 + 22113806</f>
        <v>50773064</v>
      </c>
      <c r="S50" s="10">
        <f>28707+257190+86561+438563+974603</f>
        <v>1785624</v>
      </c>
      <c r="V50" s="10">
        <f>(4780+57+1678+129+1604+5107+3116+12161+5867+40+1598)*V1</f>
        <v>2524169.4499999997</v>
      </c>
      <c r="Y50" s="10">
        <f>38701+21432+25879+146077+123908+44425+818</f>
        <v>401240</v>
      </c>
      <c r="AB50" s="10">
        <f>484780+1911+6653+174120</f>
        <v>667464</v>
      </c>
      <c r="AE50" s="10">
        <f>6945+70215+89157+257257+763094+38777</f>
        <v>1225445</v>
      </c>
      <c r="AH50" s="10">
        <f>59932+98258+70018+6000+69691+85020+1106385</f>
        <v>1495304</v>
      </c>
      <c r="AK50" s="10">
        <f>305140+23+22791</f>
        <v>327954</v>
      </c>
      <c r="AN50" s="10">
        <f>261281+4849</f>
        <v>266130</v>
      </c>
      <c r="AR50" s="1">
        <f>423502+89632+38068+0+704+4991+9013+1099+3310+2216+1715</f>
        <v>574250</v>
      </c>
      <c r="AU50" s="1">
        <f>(146333407+331707+93884+12116270+102+328748+1423970+329230+5814473+1076967+3437217+1737321+1464719+2913037+799207+161804)/1000</f>
        <v>178362.06299999999</v>
      </c>
      <c r="AX50" s="1">
        <f>250009+297451+767510+10126+2640+624356+508528</f>
        <v>2460620</v>
      </c>
      <c r="BA50" s="1">
        <f>939+3030+43472+204157</f>
        <v>251598</v>
      </c>
      <c r="BD50" s="36"/>
      <c r="BE50" s="36">
        <f>17011+12798+6887+13430+111+2696+13759+1190+435+16+3465+8061+16176</f>
        <v>96035</v>
      </c>
      <c r="BH50" s="36">
        <v>131944</v>
      </c>
      <c r="BK50" s="36">
        <v>28586</v>
      </c>
      <c r="BN50" s="36">
        <v>18274</v>
      </c>
      <c r="BQ50" s="36">
        <f>13890+1404+6047</f>
        <v>21341</v>
      </c>
      <c r="BT50" s="36">
        <f>5413+16096+2095+6.7</f>
        <v>23610.7</v>
      </c>
      <c r="BW50" s="36">
        <f>20519+47963+1093</f>
        <v>69575</v>
      </c>
      <c r="BZ50" s="36">
        <f>18471+25595+1475</f>
        <v>45541</v>
      </c>
    </row>
    <row r="51" spans="1:78" x14ac:dyDescent="0.25">
      <c r="A51" s="1" t="s">
        <v>80</v>
      </c>
      <c r="B51" s="1" t="s">
        <v>116</v>
      </c>
      <c r="C51" s="15"/>
      <c r="D51" s="15"/>
      <c r="F51" s="15"/>
      <c r="G51" s="15"/>
      <c r="I51" s="15"/>
      <c r="J51" s="15"/>
      <c r="L51" s="15"/>
      <c r="M51" s="15"/>
      <c r="O51" s="15"/>
      <c r="P51" s="15"/>
      <c r="S51" s="15"/>
      <c r="V51" s="15"/>
      <c r="Y51" s="15"/>
      <c r="AB51" s="15"/>
      <c r="AE51" s="15"/>
      <c r="AH51" s="15"/>
      <c r="AK51" s="15"/>
      <c r="AN51" s="15"/>
      <c r="AR51" s="1">
        <f>2756+129778</f>
        <v>132534</v>
      </c>
      <c r="AU51" s="1">
        <f>80647485/1000</f>
        <v>80647.485000000001</v>
      </c>
      <c r="AX51" s="1">
        <v>0</v>
      </c>
      <c r="BA51" s="1">
        <v>0</v>
      </c>
      <c r="BD51" s="36"/>
      <c r="BE51" s="36">
        <v>6121</v>
      </c>
      <c r="BH51" s="36">
        <v>35320</v>
      </c>
      <c r="BK51" s="36">
        <v>0</v>
      </c>
      <c r="BN51" s="36">
        <v>8932</v>
      </c>
      <c r="BQ51" s="36">
        <v>8092</v>
      </c>
      <c r="BT51" s="36">
        <v>4157</v>
      </c>
      <c r="BW51" s="36">
        <v>20519</v>
      </c>
      <c r="BZ51" s="36">
        <v>32945</v>
      </c>
    </row>
    <row r="52" spans="1:78" x14ac:dyDescent="0.25">
      <c r="BD52" s="36"/>
      <c r="BE52" s="36"/>
    </row>
    <row r="53" spans="1:78" x14ac:dyDescent="0.25">
      <c r="B53" s="13" t="s">
        <v>18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8"/>
      <c r="AA53" s="13"/>
      <c r="AB53" s="13"/>
      <c r="AC53" s="18"/>
      <c r="AD53" s="13"/>
      <c r="AE53" s="13"/>
      <c r="AF53" s="18"/>
      <c r="AG53" s="13"/>
      <c r="AH53" s="13"/>
      <c r="AI53" s="18"/>
      <c r="AJ53" s="13"/>
      <c r="AK53" s="13"/>
      <c r="AL53" s="13"/>
      <c r="AM53" s="13"/>
      <c r="AN53" s="13"/>
      <c r="AO53" s="13"/>
      <c r="AP53" s="13"/>
      <c r="AQ53" s="13"/>
      <c r="AR53" s="18"/>
      <c r="AS53" s="18"/>
      <c r="AT53" s="18"/>
      <c r="AU53" s="13"/>
      <c r="AV53" s="18"/>
      <c r="AW53" s="13"/>
      <c r="AX53" s="13"/>
      <c r="AY53" s="18"/>
      <c r="AZ53" s="13"/>
      <c r="BA53" s="19"/>
      <c r="BB53" s="19"/>
      <c r="BC53" s="19"/>
      <c r="BD53" s="88"/>
      <c r="BE53" s="13"/>
      <c r="BF53" s="88"/>
      <c r="BG53" s="88"/>
      <c r="BH53" s="13"/>
      <c r="BI53" s="88"/>
      <c r="BJ53" s="88"/>
      <c r="BK53" s="13"/>
      <c r="BL53" s="88"/>
      <c r="BM53" s="88"/>
      <c r="BN53" s="13"/>
      <c r="BO53" s="88"/>
      <c r="BP53" s="88"/>
      <c r="BQ53" s="13"/>
      <c r="BR53" s="88"/>
      <c r="BS53" s="88"/>
      <c r="BT53" s="13"/>
      <c r="BU53" s="88"/>
      <c r="BV53" s="88"/>
      <c r="BW53" s="13"/>
      <c r="BX53" s="88"/>
      <c r="BY53" s="88"/>
      <c r="BZ53" s="13"/>
    </row>
    <row r="54" spans="1:78" x14ac:dyDescent="0.25">
      <c r="AO54" s="3"/>
      <c r="AP54" s="3"/>
      <c r="AQ54" s="3"/>
      <c r="BD54" s="36"/>
      <c r="BH54" s="1"/>
      <c r="BK54" s="1"/>
      <c r="BN54" s="1"/>
      <c r="BQ54" s="1"/>
      <c r="BT54" s="1"/>
      <c r="BW54" s="1"/>
      <c r="BZ54" s="1"/>
    </row>
    <row r="55" spans="1:78" x14ac:dyDescent="0.25">
      <c r="B55" s="26" t="s">
        <v>46</v>
      </c>
      <c r="AO55" s="3"/>
      <c r="AP55" s="3"/>
      <c r="AQ55" s="3"/>
      <c r="BD55" s="36"/>
      <c r="BH55" s="1"/>
      <c r="BK55" s="1"/>
      <c r="BN55" s="1"/>
      <c r="BQ55" s="1"/>
      <c r="BT55" s="1"/>
      <c r="BW55" s="1"/>
      <c r="BZ55" s="1"/>
    </row>
    <row r="56" spans="1:78" x14ac:dyDescent="0.25">
      <c r="B56" s="1" t="s">
        <v>21</v>
      </c>
      <c r="C56" s="14"/>
      <c r="D56" s="14">
        <f>D21/D6</f>
        <v>0.25161182908188012</v>
      </c>
      <c r="E56" s="14"/>
      <c r="F56" s="14"/>
      <c r="G56" s="14">
        <f t="shared" ref="G56" si="33">G21/G6</f>
        <v>0.27547092893003916</v>
      </c>
      <c r="H56" s="14"/>
      <c r="I56" s="14"/>
      <c r="J56" s="14">
        <f t="shared" ref="J56:P56" si="34">J21/J6</f>
        <v>0.16904029249171773</v>
      </c>
      <c r="K56" s="14"/>
      <c r="L56" s="14"/>
      <c r="M56" s="14">
        <f t="shared" si="34"/>
        <v>0.17877298223494953</v>
      </c>
      <c r="N56" s="14"/>
      <c r="O56" s="14"/>
      <c r="P56" s="14">
        <f t="shared" si="34"/>
        <v>2.8575169764932479E-2</v>
      </c>
      <c r="Q56" s="14"/>
      <c r="R56" s="14"/>
      <c r="S56" s="14">
        <f>S21/S6</f>
        <v>0.13736938936194285</v>
      </c>
      <c r="T56" s="14"/>
      <c r="U56" s="14"/>
      <c r="V56" s="14">
        <f>V21/V6</f>
        <v>4.9782805888749289E-2</v>
      </c>
      <c r="W56" s="14"/>
      <c r="X56" s="14"/>
      <c r="Y56" s="14">
        <f>Y21/Y6</f>
        <v>3.4901116574588428E-2</v>
      </c>
      <c r="Z56" s="14"/>
      <c r="AA56" s="14"/>
      <c r="AB56" s="14">
        <f>AB21/AB6</f>
        <v>1.9228901319861293E-2</v>
      </c>
      <c r="AC56" s="14"/>
      <c r="AD56" s="14"/>
      <c r="AE56" s="14">
        <f>AE21/AE6</f>
        <v>1.913520968998219E-2</v>
      </c>
      <c r="AF56" s="14"/>
      <c r="AG56" s="14"/>
      <c r="AH56" s="14">
        <f>AH21/AH6</f>
        <v>4.1162524802513208E-2</v>
      </c>
      <c r="AI56" s="14"/>
      <c r="AJ56" s="14"/>
      <c r="AK56" s="14">
        <f>AK21/AK6</f>
        <v>1.2381316649926902E-2</v>
      </c>
      <c r="AL56" s="14"/>
      <c r="AM56" s="14"/>
      <c r="AN56" s="14">
        <f>AN21/AN6</f>
        <v>7.5945339780275033E-3</v>
      </c>
      <c r="AO56" s="29"/>
      <c r="AP56" s="29"/>
      <c r="AQ56" s="29"/>
      <c r="AR56" s="14">
        <f>AR21/AR6</f>
        <v>3.9017417186957441E-2</v>
      </c>
      <c r="AS56" s="14"/>
      <c r="AT56" s="14"/>
      <c r="AU56" s="14">
        <f>AU21/AU6</f>
        <v>0.10779108740049061</v>
      </c>
      <c r="AV56" s="14"/>
      <c r="AW56" s="14"/>
      <c r="AX56" s="14">
        <f>AX21/AX6</f>
        <v>0.10345366962006795</v>
      </c>
      <c r="AY56" s="14"/>
      <c r="AZ56" s="14"/>
      <c r="BA56" s="14">
        <f>BA21/BA6</f>
        <v>7.3231092901720807E-2</v>
      </c>
      <c r="BD56" s="36"/>
      <c r="BE56" s="14">
        <f>BE21/BE6</f>
        <v>1.8666562628569808E-2</v>
      </c>
      <c r="BH56" s="14">
        <f>BH21/BH6</f>
        <v>2.5317206464868985E-2</v>
      </c>
      <c r="BK56" s="14">
        <f>BK21/BK6</f>
        <v>4.7311043637593982E-2</v>
      </c>
      <c r="BN56" s="14">
        <f>BN21/BN6</f>
        <v>3.1691568082198238E-2</v>
      </c>
      <c r="BQ56" s="14">
        <f>BQ21/BQ6</f>
        <v>4.2070165120787872E-2</v>
      </c>
      <c r="BT56" s="14">
        <f>BT21/BT6</f>
        <v>5.9977477845054106E-3</v>
      </c>
      <c r="BW56" s="14">
        <f>BW21/BW6</f>
        <v>1.264484260498547E-3</v>
      </c>
      <c r="BZ56" s="14">
        <f>BZ21/BZ6</f>
        <v>2.4137610907017147E-3</v>
      </c>
    </row>
    <row r="57" spans="1:78" x14ac:dyDescent="0.25">
      <c r="B57" s="20" t="s">
        <v>22</v>
      </c>
      <c r="C57" s="20"/>
      <c r="D57" s="55">
        <f>D26/D6</f>
        <v>4.2399167276264492E-2</v>
      </c>
      <c r="E57" s="55"/>
      <c r="F57" s="55"/>
      <c r="G57" s="55">
        <f>G26/G6</f>
        <v>0.10902707129766676</v>
      </c>
      <c r="H57" s="20"/>
      <c r="I57" s="55"/>
      <c r="J57" s="55">
        <f>J26/J6</f>
        <v>4.2723148040900771E-2</v>
      </c>
      <c r="K57" s="55"/>
      <c r="L57" s="55"/>
      <c r="M57" s="55">
        <f t="shared" ref="M57:P57" si="35">M26/M6</f>
        <v>1.0943863345675578E-3</v>
      </c>
      <c r="N57" s="55"/>
      <c r="O57" s="55"/>
      <c r="P57" s="55">
        <f t="shared" si="35"/>
        <v>3.9050187606507005E-3</v>
      </c>
      <c r="Q57" s="20"/>
      <c r="R57" s="20"/>
      <c r="S57" s="55">
        <f>S26/$S$6</f>
        <v>5.2939885012688474E-2</v>
      </c>
      <c r="T57" s="20"/>
      <c r="U57" s="20"/>
      <c r="V57" s="55">
        <f>V26/$S$6</f>
        <v>7.2863514888944804E-3</v>
      </c>
      <c r="W57" s="20"/>
      <c r="X57" s="20"/>
      <c r="Y57" s="55">
        <f>Y26/$S$6</f>
        <v>1.1029433118176447E-3</v>
      </c>
      <c r="Z57" s="20"/>
      <c r="AA57" s="20"/>
      <c r="AB57" s="55">
        <f>AB26/$S$6</f>
        <v>2.2076987645613072E-3</v>
      </c>
      <c r="AC57" s="20"/>
      <c r="AD57" s="20"/>
      <c r="AE57" s="55">
        <f>AE26/$S$6</f>
        <v>3.3414763512124267E-2</v>
      </c>
      <c r="AF57" s="20"/>
      <c r="AG57" s="20"/>
      <c r="AH57" s="55">
        <f>AH26/$S$6</f>
        <v>1.2945604872893417E-2</v>
      </c>
      <c r="AI57" s="20"/>
      <c r="AJ57" s="20"/>
      <c r="AK57" s="55">
        <f>AK26/$S$6</f>
        <v>8.9268849924761307E-4</v>
      </c>
      <c r="AL57" s="55"/>
      <c r="AM57" s="55"/>
      <c r="AN57" s="55">
        <f>AN26/$S$6</f>
        <v>1.8037771986671006E-4</v>
      </c>
      <c r="AO57" s="3"/>
      <c r="AP57" s="3"/>
      <c r="AQ57" s="3"/>
      <c r="AR57" s="14">
        <f>AR26/AR6</f>
        <v>5.9020632833917237E-2</v>
      </c>
      <c r="AS57" s="14"/>
      <c r="AT57" s="14"/>
      <c r="AU57" s="14">
        <f>AU26/AU6</f>
        <v>0.11243965920986329</v>
      </c>
      <c r="AV57" s="14"/>
      <c r="AW57" s="14"/>
      <c r="AX57" s="14">
        <f>AX26/AX6</f>
        <v>3.8076759058510427E-2</v>
      </c>
      <c r="AY57" s="14"/>
      <c r="AZ57" s="14"/>
      <c r="BA57" s="14">
        <f>BA26/BA6</f>
        <v>1.9860114021762451E-2</v>
      </c>
      <c r="BD57" s="36"/>
      <c r="BE57" s="55">
        <f>BE26/$S$6</f>
        <v>8.8952886891506891E-4</v>
      </c>
      <c r="BH57" s="55">
        <f>BH26/$S$6</f>
        <v>4.9062553943137344E-4</v>
      </c>
      <c r="BK57" s="55">
        <f>BK26/$S$6</f>
        <v>1.4120759677355277E-4</v>
      </c>
      <c r="BN57" s="55">
        <f>BN26/$S$6</f>
        <v>3.4007844711603582E-4</v>
      </c>
      <c r="BQ57" s="55">
        <f>BQ26/$S$6</f>
        <v>4.4234824655617715E-5</v>
      </c>
      <c r="BT57" s="55">
        <f>BT26/$S$6</f>
        <v>2.9463552850973946E-4</v>
      </c>
      <c r="BW57" s="55">
        <f>BW26/$S$6</f>
        <v>5.2040970183079666E-6</v>
      </c>
      <c r="BZ57" s="55">
        <f>BZ26/$S$6</f>
        <v>2.2057007630274929E-4</v>
      </c>
    </row>
    <row r="58" spans="1:78" x14ac:dyDescent="0.25">
      <c r="A58" s="42"/>
      <c r="B58" s="74" t="s">
        <v>16</v>
      </c>
      <c r="C58" s="44"/>
      <c r="D58" s="44">
        <f>D23/D21 * -1</f>
        <v>0.35147372205346766</v>
      </c>
      <c r="E58" s="44"/>
      <c r="F58" s="44"/>
      <c r="G58" s="44">
        <f>G23/G21 * -1</f>
        <v>0.39414442940851002</v>
      </c>
      <c r="H58" s="44"/>
      <c r="I58" s="44"/>
      <c r="J58" s="44">
        <f>J23/J21 * -1</f>
        <v>0.1526880544094934</v>
      </c>
      <c r="K58" s="44"/>
      <c r="L58" s="44"/>
      <c r="M58" s="44">
        <f t="shared" ref="M58:P58" si="36">M23/M21 * -1</f>
        <v>0.13511286867688252</v>
      </c>
      <c r="N58" s="44"/>
      <c r="O58" s="44"/>
      <c r="P58" s="44">
        <f t="shared" si="36"/>
        <v>0.65559114737542545</v>
      </c>
      <c r="Q58" s="44"/>
      <c r="R58" s="44"/>
      <c r="S58" s="44">
        <f>S23/S21 * -1</f>
        <v>0.53333755017933993</v>
      </c>
      <c r="T58" s="44"/>
      <c r="U58" s="44"/>
      <c r="V58" s="44">
        <f>V23/V21 * -1</f>
        <v>0.7189904934359439</v>
      </c>
      <c r="W58" s="44"/>
      <c r="X58" s="44"/>
      <c r="Y58" s="44">
        <f>Y23/Y21 * -1</f>
        <v>0.4515908596750981</v>
      </c>
      <c r="Z58" s="74"/>
      <c r="AA58" s="44"/>
      <c r="AB58" s="44">
        <f>AB23/AB21 * -1</f>
        <v>0.69189247460863812</v>
      </c>
      <c r="AC58" s="74"/>
      <c r="AD58" s="44"/>
      <c r="AE58" s="63">
        <f>AE23/AE21 * -1</f>
        <v>0.64839588286634364</v>
      </c>
      <c r="AF58" s="63"/>
      <c r="AG58" s="63"/>
      <c r="AH58" s="63">
        <f>AH23/AH21 * -1</f>
        <v>0.87275465851144618</v>
      </c>
      <c r="AI58" s="63"/>
      <c r="AJ58" s="63"/>
      <c r="AK58" s="63">
        <f>AK23/AK21 * -1</f>
        <v>0.60881398013750954</v>
      </c>
      <c r="AL58" s="63"/>
      <c r="AM58" s="63"/>
      <c r="AN58" s="63">
        <f>AN23/AN21 * -1</f>
        <v>0.604344453064391</v>
      </c>
      <c r="AO58" s="64"/>
      <c r="AP58" s="64"/>
      <c r="AQ58" s="65"/>
      <c r="AR58" s="44">
        <f>AR23/AR21</f>
        <v>-0.4435210194611815</v>
      </c>
      <c r="AS58" s="44"/>
      <c r="AT58" s="44"/>
      <c r="AU58" s="44">
        <f>AU23/AU21</f>
        <v>-0.69352357010694288</v>
      </c>
      <c r="AV58" s="44"/>
      <c r="AW58" s="44"/>
      <c r="AX58" s="44">
        <f>AX23/AX21</f>
        <v>-0.57769011133292392</v>
      </c>
      <c r="AY58" s="44"/>
      <c r="AZ58" s="44"/>
      <c r="BA58" s="44">
        <f>BA23/BA21</f>
        <v>-0.55367462385862587</v>
      </c>
      <c r="BB58" s="90"/>
      <c r="BC58" s="90"/>
      <c r="BD58" s="64"/>
      <c r="BE58" s="63">
        <f>BE23/BE21 * -1</f>
        <v>0.7461523845715371</v>
      </c>
      <c r="BF58" s="64"/>
      <c r="BG58" s="64"/>
      <c r="BH58" s="63">
        <f>BH23/BH21 * -1</f>
        <v>0.45607429718875503</v>
      </c>
      <c r="BI58" s="64"/>
      <c r="BJ58" s="64"/>
      <c r="BK58" s="63">
        <f>BK23/BK21 * -1</f>
        <v>0.62375777839695368</v>
      </c>
      <c r="BL58" s="64"/>
      <c r="BM58" s="64"/>
      <c r="BN58" s="63">
        <f>BN23/BN21 * -1</f>
        <v>0.43143961927424151</v>
      </c>
      <c r="BO58" s="64"/>
      <c r="BP58" s="64"/>
      <c r="BQ58" s="63">
        <f>BQ23/BQ21 * -1</f>
        <v>0.37388934960312759</v>
      </c>
      <c r="BR58" s="64"/>
      <c r="BS58" s="64"/>
      <c r="BT58" s="63">
        <f>BT23/BT21 * -1</f>
        <v>0.30204081632653063</v>
      </c>
      <c r="BU58" s="64"/>
      <c r="BV58" s="64"/>
      <c r="BW58" s="63">
        <f>BW23/BW21 * -1</f>
        <v>0.74269005847953218</v>
      </c>
      <c r="BX58" s="64"/>
      <c r="BY58" s="64"/>
      <c r="BZ58" s="63">
        <f>BZ23/BZ21 * -1</f>
        <v>0.39010989010989011</v>
      </c>
    </row>
    <row r="59" spans="1:78" x14ac:dyDescent="0.25">
      <c r="A59" s="42"/>
      <c r="B59" s="1" t="s">
        <v>17</v>
      </c>
      <c r="C59" s="14"/>
      <c r="D59" s="14">
        <f>D27/D26 * -1</f>
        <v>4.2328860305485126E-2</v>
      </c>
      <c r="E59" s="14"/>
      <c r="F59" s="14"/>
      <c r="G59" s="14">
        <f>G27/G26 * -1</f>
        <v>1.5849221855420065E-2</v>
      </c>
      <c r="H59" s="14"/>
      <c r="I59" s="14"/>
      <c r="J59" s="14">
        <f>J27/J26 * -1</f>
        <v>1.2990167171459871E-2</v>
      </c>
      <c r="K59" s="14"/>
      <c r="L59" s="14"/>
      <c r="M59" s="14">
        <f t="shared" ref="M59:P59" si="37">M27/M26 * -1</f>
        <v>7.1301247771836005E-4</v>
      </c>
      <c r="N59" s="14"/>
      <c r="O59" s="14"/>
      <c r="P59" s="14">
        <f t="shared" si="37"/>
        <v>0.43144867079492782</v>
      </c>
      <c r="Q59" s="14"/>
      <c r="R59" s="14"/>
      <c r="S59" s="14">
        <f>S27/S26 * -1</f>
        <v>7.766473046818087E-2</v>
      </c>
      <c r="T59" s="14"/>
      <c r="U59" s="14"/>
      <c r="V59" s="14">
        <f>V27/V26 * -1</f>
        <v>0.13006681514476612</v>
      </c>
      <c r="W59" s="14"/>
      <c r="X59" s="14"/>
      <c r="Y59" s="14">
        <f>Y27/Y26 * -1</f>
        <v>0.10957576778868433</v>
      </c>
      <c r="AA59" s="14"/>
      <c r="AB59" s="14">
        <f>AB27/AB26 * -1</f>
        <v>4.0346852440384738E-2</v>
      </c>
      <c r="AD59" s="14"/>
      <c r="AE59" s="29">
        <f>AE27/AE26 * -1</f>
        <v>1.0662795354425311E-2</v>
      </c>
      <c r="AF59" s="29"/>
      <c r="AG59" s="29"/>
      <c r="AH59" s="29">
        <f>AH27/AH26 * -1</f>
        <v>1.2357824893605335E-2</v>
      </c>
      <c r="AI59" s="29"/>
      <c r="AJ59" s="29"/>
      <c r="AK59" s="29">
        <f>AK27/AK26 * -1</f>
        <v>5.6579221320008331E-2</v>
      </c>
      <c r="AL59" s="29"/>
      <c r="AM59" s="29"/>
      <c r="AN59" s="29">
        <f>AN27/AN26 * -1</f>
        <v>0.15533230293663061</v>
      </c>
      <c r="AO59" s="3"/>
      <c r="AP59" s="3"/>
      <c r="AQ59" s="89"/>
      <c r="AR59" s="14">
        <f>AR27/AR26</f>
        <v>-0.15765858571984526</v>
      </c>
      <c r="AS59" s="14"/>
      <c r="AT59" s="14"/>
      <c r="AU59" s="14">
        <f>AU27/AU26</f>
        <v>-8.7962591467265636E-2</v>
      </c>
      <c r="AV59" s="14"/>
      <c r="AW59" s="14"/>
      <c r="AX59" s="14">
        <f>AX27/AX26</f>
        <v>-0.11398381916763745</v>
      </c>
      <c r="AY59" s="14"/>
      <c r="AZ59" s="14"/>
      <c r="BA59" s="14">
        <f>BA27/BA26</f>
        <v>-4.8889786772943492E-2</v>
      </c>
      <c r="BD59" s="36"/>
      <c r="BE59" s="29">
        <f>BE27/BE26 * -1</f>
        <v>0.1501776013372336</v>
      </c>
      <c r="BH59" s="29">
        <f>BH27/BH26 * -1</f>
        <v>0.13344066672980395</v>
      </c>
      <c r="BK59" s="29">
        <f>BK27/BK26 * -1</f>
        <v>2.4021059559065482E-2</v>
      </c>
      <c r="BN59" s="29">
        <f>BN27/BN26 * -1</f>
        <v>0.17502391037026915</v>
      </c>
      <c r="BQ59" s="29">
        <f>BQ27/BQ26 * -1</f>
        <v>0.10399159663865547</v>
      </c>
      <c r="BT59" s="29">
        <f>BT27/BT26 * -1</f>
        <v>0.23292856016401198</v>
      </c>
      <c r="BW59" s="29">
        <f>BW27/BW26 * -1</f>
        <v>0.24107142857142858</v>
      </c>
      <c r="BZ59" s="29">
        <f>BZ27/BZ26 * -1</f>
        <v>0.15673056667368865</v>
      </c>
    </row>
    <row r="60" spans="1:78" s="61" customFormat="1" x14ac:dyDescent="0.25">
      <c r="A60" s="59"/>
      <c r="B60" s="59" t="s">
        <v>126</v>
      </c>
      <c r="C60" s="58"/>
      <c r="D60" s="58">
        <f>D24/D9</f>
        <v>0.62037290855715987</v>
      </c>
      <c r="E60" s="58"/>
      <c r="F60" s="58"/>
      <c r="G60" s="58">
        <f>G24/G9</f>
        <v>1.6972305738669256</v>
      </c>
      <c r="H60" s="58"/>
      <c r="I60" s="58"/>
      <c r="J60" s="58">
        <f>J24/J9</f>
        <v>0.77929664977649349</v>
      </c>
      <c r="K60" s="58"/>
      <c r="L60" s="58"/>
      <c r="M60" s="58">
        <f t="shared" ref="M60:P60" si="38">M24/M9</f>
        <v>0.11724818199260327</v>
      </c>
      <c r="N60" s="58"/>
      <c r="O60" s="58"/>
      <c r="P60" s="58">
        <f t="shared" si="38"/>
        <v>4.0506836170956517E-2</v>
      </c>
      <c r="Q60" s="58"/>
      <c r="R60" s="58"/>
      <c r="S60" s="58">
        <f>S24/S9</f>
        <v>0.28014811227128328</v>
      </c>
      <c r="T60" s="58"/>
      <c r="U60" s="58"/>
      <c r="V60" s="58">
        <f>V24/V9</f>
        <v>3.4170508497901327E-2</v>
      </c>
      <c r="W60" s="58"/>
      <c r="X60" s="58"/>
      <c r="Y60" s="58">
        <f>Y24/Y9</f>
        <v>6.8506663298120232E-2</v>
      </c>
      <c r="Z60" s="59"/>
      <c r="AA60" s="58"/>
      <c r="AB60" s="58">
        <f>AB24/AB9</f>
        <v>1.9824363658884004E-2</v>
      </c>
      <c r="AC60" s="59"/>
      <c r="AD60" s="58"/>
      <c r="AE60" s="58">
        <f>AE24/AE9</f>
        <v>2.1232455656104279E-2</v>
      </c>
      <c r="AF60" s="58"/>
      <c r="AG60" s="58"/>
      <c r="AH60" s="58">
        <f>AH24/AH9</f>
        <v>2.9239100901688766E-2</v>
      </c>
      <c r="AI60" s="58"/>
      <c r="AJ60" s="58"/>
      <c r="AK60" s="58">
        <f>AK24/AK9</f>
        <v>1.1786928924516467E-2</v>
      </c>
      <c r="AL60" s="58"/>
      <c r="AM60" s="58"/>
      <c r="AN60" s="58">
        <f>AN24/AN9</f>
        <v>6.9334457185972684E-3</v>
      </c>
      <c r="AO60" s="59"/>
      <c r="AP60" s="59"/>
      <c r="AQ60" s="59"/>
      <c r="AR60" s="58">
        <f>AR24/AR9</f>
        <v>0.19396187760413061</v>
      </c>
      <c r="AS60" s="58"/>
      <c r="AT60" s="58"/>
      <c r="AU60" s="58">
        <f>AU24/AU9</f>
        <v>0.1638739463413896</v>
      </c>
      <c r="AV60" s="58"/>
      <c r="AW60" s="58"/>
      <c r="AX60" s="58">
        <f>AX24/AX9</f>
        <v>0.31602032839703326</v>
      </c>
      <c r="AY60" s="58"/>
      <c r="AZ60" s="58"/>
      <c r="BA60" s="58">
        <f>BA24/BA9</f>
        <v>7.1947487260518111E-2</v>
      </c>
      <c r="BB60" s="60"/>
      <c r="BC60" s="60"/>
      <c r="BE60" s="58">
        <f>BE24/BE9</f>
        <v>0.211146014347458</v>
      </c>
      <c r="BH60" s="58">
        <f>BH24/BH9</f>
        <v>0.25000351029921791</v>
      </c>
      <c r="BK60" s="58">
        <f>BK24/BK9</f>
        <v>0.17398942786069652</v>
      </c>
      <c r="BN60" s="58">
        <f>BN24/BN9</f>
        <v>0.20038680978628759</v>
      </c>
      <c r="BQ60" s="58">
        <f>BQ24/BQ9</f>
        <v>0.27796107317322694</v>
      </c>
      <c r="BT60" s="58">
        <f>BT24/BT9</f>
        <v>2.6596175113964341E-2</v>
      </c>
      <c r="BW60" s="58">
        <f>BW24/BW9</f>
        <v>6.4257387363210782E-3</v>
      </c>
      <c r="BZ60" s="58">
        <f>BZ24/BZ9</f>
        <v>4.2948508472993793E-3</v>
      </c>
    </row>
    <row r="61" spans="1:78" x14ac:dyDescent="0.25">
      <c r="BD61" s="36"/>
      <c r="BE61" s="36"/>
    </row>
    <row r="62" spans="1:78" x14ac:dyDescent="0.25">
      <c r="BD62" s="36"/>
      <c r="BE62" s="36"/>
    </row>
    <row r="63" spans="1:78" s="61" customFormat="1" x14ac:dyDescent="0.25">
      <c r="A63" s="58"/>
      <c r="B63" s="59" t="s">
        <v>66</v>
      </c>
      <c r="C63" s="58">
        <f t="shared" ref="C63" si="39">C45/C6</f>
        <v>0.20920216274698675</v>
      </c>
      <c r="D63" s="58">
        <f>D45/D6</f>
        <v>0.20511196935492751</v>
      </c>
      <c r="E63" s="58"/>
      <c r="F63" s="58"/>
      <c r="G63" s="58">
        <f>G45/G6</f>
        <v>0.19839797855891525</v>
      </c>
      <c r="H63" s="58"/>
      <c r="I63" s="58"/>
      <c r="J63" s="58">
        <f>J45/J6</f>
        <v>2.1140412826523302E-2</v>
      </c>
      <c r="K63" s="58"/>
      <c r="L63" s="58"/>
      <c r="M63" s="58">
        <f t="shared" ref="M63:P63" si="40">M45/M6</f>
        <v>0.11165218100369663</v>
      </c>
      <c r="N63" s="58"/>
      <c r="O63" s="58"/>
      <c r="P63" s="58">
        <f t="shared" si="40"/>
        <v>0</v>
      </c>
      <c r="Q63" s="58"/>
      <c r="R63" s="58"/>
      <c r="S63" s="58">
        <f>S45/S6</f>
        <v>0.4738956220766159</v>
      </c>
      <c r="T63" s="58"/>
      <c r="U63" s="58"/>
      <c r="V63" s="58">
        <f>V45/V6</f>
        <v>0.50121978015786717</v>
      </c>
      <c r="W63" s="58"/>
      <c r="X63" s="58"/>
      <c r="Y63" s="58">
        <f>Y45/Y6</f>
        <v>0.42034676471856536</v>
      </c>
      <c r="Z63" s="59"/>
      <c r="AA63" s="58"/>
      <c r="AB63" s="58">
        <f>AB45/AB6</f>
        <v>3.04718162890837E-2</v>
      </c>
      <c r="AC63" s="59"/>
      <c r="AD63" s="58"/>
      <c r="AE63" s="58">
        <f>AE45/AE6</f>
        <v>6.340154310634015E-2</v>
      </c>
      <c r="AF63" s="58"/>
      <c r="AG63" s="58"/>
      <c r="AH63" s="58">
        <f>AH45/AH6</f>
        <v>0.15612595472448842</v>
      </c>
      <c r="AI63" s="58"/>
      <c r="AJ63" s="58"/>
      <c r="AK63" s="58">
        <f>AK45/AK6</f>
        <v>0.28638534010490779</v>
      </c>
      <c r="AL63" s="58"/>
      <c r="AM63" s="58"/>
      <c r="AN63" s="58">
        <f>AN45/AN6</f>
        <v>0</v>
      </c>
      <c r="AO63" s="58"/>
      <c r="AP63" s="58"/>
      <c r="AQ63" s="58"/>
      <c r="AR63" s="58">
        <f t="shared" ref="AR63" si="41">AR45/AR6</f>
        <v>0.41244995818307839</v>
      </c>
      <c r="AS63" s="58"/>
      <c r="AT63" s="58"/>
      <c r="AU63" s="58">
        <f t="shared" ref="AU63" si="42">AU45/AU6</f>
        <v>0.21577102384678593</v>
      </c>
      <c r="AV63" s="58"/>
      <c r="AW63" s="58"/>
      <c r="AX63" s="58">
        <f t="shared" ref="AX63" si="43">AX45/AX6</f>
        <v>2.4742454192659531E-2</v>
      </c>
      <c r="AY63" s="58"/>
      <c r="AZ63" s="58"/>
      <c r="BA63" s="58"/>
      <c r="BB63" s="60"/>
      <c r="BC63" s="60"/>
      <c r="BE63" s="58">
        <f>BE45/BE6</f>
        <v>0.76554187296948373</v>
      </c>
      <c r="BH63" s="58">
        <f>BH45/BH6</f>
        <v>0.57355800800694778</v>
      </c>
      <c r="BK63" s="58">
        <f>BK45/BK6</f>
        <v>0.24487760294227498</v>
      </c>
      <c r="BN63" s="58">
        <f>BN45/BN6</f>
        <v>0.49196399113918082</v>
      </c>
      <c r="BQ63" s="58">
        <f>BQ45/BQ6</f>
        <v>0.64576532214253313</v>
      </c>
      <c r="BT63" s="58">
        <f>BT45/BT6</f>
        <v>0.69127511301878475</v>
      </c>
      <c r="BW63" s="58">
        <f>BW45/BW6</f>
        <v>0.46242411245775811</v>
      </c>
      <c r="BZ63" s="58">
        <f>BZ45/BZ6</f>
        <v>0.77407461439503455</v>
      </c>
    </row>
    <row r="64" spans="1:78" s="61" customFormat="1" x14ac:dyDescent="0.25">
      <c r="A64" s="58"/>
      <c r="B64" s="59" t="s">
        <v>67</v>
      </c>
      <c r="C64" s="58">
        <f t="shared" ref="C64" si="44">C45/C9</f>
        <v>0.78060875072733915</v>
      </c>
      <c r="D64" s="58">
        <f>D45/D9</f>
        <v>0.77980352772890615</v>
      </c>
      <c r="E64" s="58"/>
      <c r="F64" s="58"/>
      <c r="G64" s="58">
        <f>G45/G9</f>
        <v>2.0175913649181125</v>
      </c>
      <c r="H64" s="58"/>
      <c r="I64" s="58"/>
      <c r="J64" s="58">
        <f>J45/J9</f>
        <v>0.11502247500955301</v>
      </c>
      <c r="K64" s="58"/>
      <c r="L64" s="58"/>
      <c r="M64" s="58">
        <f t="shared" ref="M64:P64" si="45">M45/M9</f>
        <v>8.4666578205272153E-2</v>
      </c>
      <c r="N64" s="58"/>
      <c r="O64" s="58"/>
      <c r="P64" s="58">
        <f t="shared" si="45"/>
        <v>0</v>
      </c>
      <c r="Q64" s="58"/>
      <c r="R64" s="58"/>
      <c r="S64" s="58">
        <f>S45/S9</f>
        <v>2.0709879535189044</v>
      </c>
      <c r="T64" s="58"/>
      <c r="U64" s="58"/>
      <c r="V64" s="58">
        <f>V45/V9</f>
        <v>1.2242757861418838</v>
      </c>
      <c r="W64" s="58"/>
      <c r="X64" s="58"/>
      <c r="Y64" s="58">
        <f>Y45/Y9</f>
        <v>1.5045149875166901</v>
      </c>
      <c r="Z64" s="59"/>
      <c r="AA64" s="58"/>
      <c r="AB64" s="58">
        <f>AB45/AB9</f>
        <v>0.1019625810586418</v>
      </c>
      <c r="AC64" s="59"/>
      <c r="AD64" s="58"/>
      <c r="AE64" s="58">
        <f>AE45/AE9</f>
        <v>0.2000842373858604</v>
      </c>
      <c r="AF64" s="58"/>
      <c r="AG64" s="58"/>
      <c r="AH64" s="58">
        <f>AH45/AH9</f>
        <v>0.87155585377041067</v>
      </c>
      <c r="AI64" s="58"/>
      <c r="AJ64" s="58"/>
      <c r="AK64" s="58">
        <f>AK45/AK9</f>
        <v>0.69694946855955764</v>
      </c>
      <c r="AL64" s="58"/>
      <c r="AM64" s="58"/>
      <c r="AN64" s="58">
        <f>AN45/AN9</f>
        <v>0</v>
      </c>
      <c r="AO64" s="58"/>
      <c r="AP64" s="58"/>
      <c r="AQ64" s="58"/>
      <c r="AR64" s="58">
        <f t="shared" ref="AR64" si="46">AR45/AR9</f>
        <v>2.1128375853047436</v>
      </c>
      <c r="AS64" s="58"/>
      <c r="AT64" s="58"/>
      <c r="AU64" s="58">
        <f t="shared" ref="AU64" si="47">AU45/AU9</f>
        <v>1.0703433165258176</v>
      </c>
      <c r="AV64" s="58"/>
      <c r="AW64" s="58"/>
      <c r="AX64" s="58">
        <f t="shared" ref="AX64" si="48">AX45/AX9</f>
        <v>0.17897016723333337</v>
      </c>
      <c r="AY64" s="58"/>
      <c r="AZ64" s="58"/>
      <c r="BA64" s="58"/>
      <c r="BB64" s="60"/>
      <c r="BC64" s="60"/>
      <c r="BE64" s="58">
        <f>BE45/BE9</f>
        <v>4.8086931337165266</v>
      </c>
      <c r="BH64" s="58">
        <f>BH45/BH9</f>
        <v>3.8019489181257811</v>
      </c>
      <c r="BK64" s="58">
        <f>BK45/BK9</f>
        <v>0.86643345771144276</v>
      </c>
      <c r="BN64" s="58">
        <f>BN45/BN9</f>
        <v>2.0187602746349484</v>
      </c>
      <c r="BQ64" s="58">
        <f>BQ45/BQ9</f>
        <v>3.3138187677434208</v>
      </c>
      <c r="BT64" s="58">
        <f>BT45/BT9</f>
        <v>2.2850322337010764</v>
      </c>
      <c r="BW64" s="58">
        <f>BW45/BW9</f>
        <v>1.8646569460595759</v>
      </c>
      <c r="BZ64" s="58">
        <f>BZ45/BZ9</f>
        <v>1.3623546986601933</v>
      </c>
    </row>
    <row r="65" spans="1:78" x14ac:dyDescent="0.25">
      <c r="D65" s="14"/>
      <c r="E65" s="14"/>
      <c r="F65" s="14"/>
      <c r="G65" s="14"/>
      <c r="I65" s="14"/>
      <c r="J65" s="14"/>
      <c r="L65" s="14"/>
      <c r="M65" s="14"/>
      <c r="O65" s="14"/>
      <c r="P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3"/>
      <c r="AP65" s="3"/>
      <c r="AQ65" s="3"/>
      <c r="BD65" s="36"/>
      <c r="BE65" s="36"/>
    </row>
    <row r="66" spans="1:78" s="61" customFormat="1" x14ac:dyDescent="0.25">
      <c r="A66" s="58"/>
      <c r="B66" s="59" t="s">
        <v>100</v>
      </c>
      <c r="C66" s="58"/>
      <c r="D66" s="58">
        <f>D46/D9</f>
        <v>0.83424703943629686</v>
      </c>
      <c r="E66" s="58"/>
      <c r="F66" s="58"/>
      <c r="G66" s="58">
        <f t="shared" ref="G66:BE66" si="49">G46/G9</f>
        <v>3.7521376801571655</v>
      </c>
      <c r="H66" s="58"/>
      <c r="I66" s="58"/>
      <c r="J66" s="58">
        <f t="shared" si="49"/>
        <v>0.77406655513033362</v>
      </c>
      <c r="K66" s="58"/>
      <c r="L66" s="58"/>
      <c r="M66" s="58">
        <f t="shared" si="49"/>
        <v>0.49822865641564784</v>
      </c>
      <c r="N66" s="58"/>
      <c r="O66" s="58"/>
      <c r="P66" s="58">
        <f t="shared" si="49"/>
        <v>0</v>
      </c>
      <c r="Q66" s="58"/>
      <c r="R66" s="58"/>
      <c r="S66" s="58">
        <f t="shared" si="49"/>
        <v>0</v>
      </c>
      <c r="T66" s="58"/>
      <c r="U66" s="58"/>
      <c r="V66" s="58">
        <f t="shared" si="49"/>
        <v>0</v>
      </c>
      <c r="W66" s="58"/>
      <c r="X66" s="58"/>
      <c r="Y66" s="58">
        <f t="shared" si="49"/>
        <v>0</v>
      </c>
      <c r="Z66" s="58"/>
      <c r="AA66" s="58"/>
      <c r="AB66" s="58">
        <f t="shared" si="49"/>
        <v>0</v>
      </c>
      <c r="AC66" s="58"/>
      <c r="AD66" s="58"/>
      <c r="AE66" s="58">
        <f t="shared" si="49"/>
        <v>0</v>
      </c>
      <c r="AF66" s="58"/>
      <c r="AG66" s="58"/>
      <c r="AH66" s="58">
        <f t="shared" si="49"/>
        <v>0</v>
      </c>
      <c r="AI66" s="58"/>
      <c r="AJ66" s="58"/>
      <c r="AK66" s="58">
        <f t="shared" si="49"/>
        <v>0</v>
      </c>
      <c r="AL66" s="58"/>
      <c r="AM66" s="58"/>
      <c r="AN66" s="58">
        <f t="shared" si="49"/>
        <v>0</v>
      </c>
      <c r="AO66" s="58"/>
      <c r="AP66" s="58"/>
      <c r="AQ66" s="58"/>
      <c r="AR66" s="58">
        <f t="shared" si="49"/>
        <v>0</v>
      </c>
      <c r="AS66" s="58"/>
      <c r="AT66" s="58"/>
      <c r="AU66" s="58">
        <f t="shared" si="49"/>
        <v>0</v>
      </c>
      <c r="AV66" s="58"/>
      <c r="AW66" s="58"/>
      <c r="AX66" s="58">
        <f t="shared" si="49"/>
        <v>1.0151283921912495</v>
      </c>
      <c r="AY66" s="58"/>
      <c r="AZ66" s="58"/>
      <c r="BA66" s="58">
        <f t="shared" si="49"/>
        <v>0</v>
      </c>
      <c r="BB66" s="58"/>
      <c r="BC66" s="58"/>
      <c r="BD66" s="58">
        <f t="shared" si="49"/>
        <v>0</v>
      </c>
      <c r="BE66" s="58">
        <f t="shared" si="49"/>
        <v>2.2991912845876219</v>
      </c>
      <c r="BH66" s="58">
        <f t="shared" ref="BH66:BZ66" si="50">BH46/BH9</f>
        <v>2.528215785113523</v>
      </c>
      <c r="BK66" s="58">
        <f t="shared" si="50"/>
        <v>0.41164490049751246</v>
      </c>
      <c r="BN66" s="58">
        <f t="shared" si="50"/>
        <v>0.90260129581278403</v>
      </c>
      <c r="BQ66" s="58">
        <f t="shared" si="50"/>
        <v>0.98322207729097932</v>
      </c>
      <c r="BT66" s="77">
        <f t="shared" si="50"/>
        <v>0</v>
      </c>
      <c r="BW66" s="58">
        <f t="shared" si="50"/>
        <v>1.5530607985210365</v>
      </c>
      <c r="BZ66" s="58">
        <f t="shared" si="50"/>
        <v>0.77671443910181592</v>
      </c>
    </row>
    <row r="67" spans="1:78" x14ac:dyDescent="0.25">
      <c r="D67" s="14"/>
      <c r="E67" s="14"/>
      <c r="F67" s="14"/>
      <c r="G67" s="14"/>
      <c r="I67" s="14"/>
      <c r="J67" s="14"/>
      <c r="L67" s="14"/>
      <c r="M67" s="14"/>
      <c r="O67" s="14"/>
      <c r="P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3"/>
      <c r="AP67" s="3"/>
      <c r="AQ67" s="3"/>
      <c r="BD67" s="36"/>
      <c r="BE67" s="36"/>
    </row>
    <row r="68" spans="1:78" x14ac:dyDescent="0.25">
      <c r="D68" s="14"/>
      <c r="E68" s="14"/>
      <c r="F68" s="14"/>
      <c r="G68" s="14"/>
      <c r="I68" s="14"/>
      <c r="J68" s="14"/>
      <c r="L68" s="14"/>
      <c r="M68" s="14"/>
      <c r="O68" s="14"/>
      <c r="P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3"/>
      <c r="AP68" s="3"/>
      <c r="AQ68" s="3"/>
      <c r="BD68" s="36"/>
      <c r="BE68" s="36"/>
    </row>
    <row r="69" spans="1:78" s="61" customFormat="1" x14ac:dyDescent="0.25">
      <c r="A69" s="58"/>
      <c r="B69" s="59" t="s">
        <v>63</v>
      </c>
      <c r="C69" s="58">
        <f t="shared" ref="C69:P69" si="51">C43/C9</f>
        <v>0.55874583550033208</v>
      </c>
      <c r="D69" s="58">
        <f t="shared" si="51"/>
        <v>0.59718698757469879</v>
      </c>
      <c r="E69" s="58"/>
      <c r="F69" s="58">
        <f t="shared" si="51"/>
        <v>0.5703157127006665</v>
      </c>
      <c r="G69" s="58">
        <f t="shared" si="51"/>
        <v>0.77799772171282378</v>
      </c>
      <c r="H69" s="58"/>
      <c r="I69" s="58">
        <f t="shared" si="51"/>
        <v>0.12537771562747035</v>
      </c>
      <c r="J69" s="58">
        <f t="shared" si="51"/>
        <v>0.19694186400132047</v>
      </c>
      <c r="K69" s="58"/>
      <c r="L69" s="58"/>
      <c r="M69" s="58">
        <f t="shared" si="51"/>
        <v>6.6046712054166776E-2</v>
      </c>
      <c r="N69" s="58"/>
      <c r="O69" s="58"/>
      <c r="P69" s="58">
        <f t="shared" si="51"/>
        <v>2.3359071431736485E-2</v>
      </c>
      <c r="Q69" s="58"/>
      <c r="R69" s="58"/>
      <c r="S69" s="58">
        <f>S43/S9</f>
        <v>8.8083744177633677E-2</v>
      </c>
      <c r="T69" s="58"/>
      <c r="U69" s="58"/>
      <c r="V69" s="58">
        <f>V43/V9</f>
        <v>0.39309158466937311</v>
      </c>
      <c r="W69" s="58"/>
      <c r="X69" s="58"/>
      <c r="Y69" s="58">
        <f>Y43/Y9</f>
        <v>0.30476392079834552</v>
      </c>
      <c r="Z69" s="59"/>
      <c r="AA69" s="58"/>
      <c r="AB69" s="58">
        <f>AB43/AB9</f>
        <v>3.7893354802749739E-2</v>
      </c>
      <c r="AC69" s="59"/>
      <c r="AD69" s="58"/>
      <c r="AE69" s="58">
        <f>AE43/AE9</f>
        <v>4.3369077427969992E-2</v>
      </c>
      <c r="AF69" s="58"/>
      <c r="AG69" s="58"/>
      <c r="AH69" s="58">
        <f>AH43/AH9</f>
        <v>0.22962825181063271</v>
      </c>
      <c r="AI69" s="58"/>
      <c r="AJ69" s="58"/>
      <c r="AK69" s="58">
        <f>AK43/AK9</f>
        <v>2.48628958468807E-2</v>
      </c>
      <c r="AL69" s="58"/>
      <c r="AM69" s="58"/>
      <c r="AN69" s="58">
        <f>AN43/AN9</f>
        <v>3.9400551503492781E-2</v>
      </c>
      <c r="AO69" s="58"/>
      <c r="AP69" s="58"/>
      <c r="AQ69" s="58"/>
      <c r="AR69" s="58">
        <f t="shared" ref="AR69:AU69" si="52">AR43/AR9</f>
        <v>7.2078182749408234E-2</v>
      </c>
      <c r="AS69" s="58"/>
      <c r="AT69" s="58"/>
      <c r="AU69" s="58">
        <f t="shared" si="52"/>
        <v>0.1950835157931233</v>
      </c>
      <c r="AV69" s="58"/>
      <c r="AW69" s="58"/>
      <c r="AX69" s="58">
        <f>AX43/AX9</f>
        <v>0.14784752727183534</v>
      </c>
      <c r="AY69" s="58"/>
      <c r="AZ69" s="58"/>
      <c r="BA69" s="58">
        <f t="shared" ref="BA69" si="53">BA43/BA9</f>
        <v>8.9042590325520934E-2</v>
      </c>
      <c r="BB69" s="60"/>
      <c r="BC69" s="60"/>
      <c r="BE69" s="58">
        <f>BE43/BE9</f>
        <v>9.0072628436483532E-2</v>
      </c>
      <c r="BH69" s="58">
        <f>BH43/BH9</f>
        <v>0.18329378396214493</v>
      </c>
      <c r="BK69" s="58">
        <f>BK43/BK9</f>
        <v>6.4940920398009944E-2</v>
      </c>
      <c r="BN69" s="58">
        <f>BN43/BN9</f>
        <v>0.10200174064403829</v>
      </c>
      <c r="BQ69" s="58">
        <f>BQ43/BQ9</f>
        <v>0.11509245760761144</v>
      </c>
      <c r="BT69" s="58">
        <f>BT43/BT9</f>
        <v>0</v>
      </c>
      <c r="BW69" s="58">
        <f>BW43/BW9</f>
        <v>6.6881354921430061E-2</v>
      </c>
      <c r="BZ69" s="58">
        <f>BZ43/BZ9</f>
        <v>3.1347742869147099E-2</v>
      </c>
    </row>
    <row r="70" spans="1:78" x14ac:dyDescent="0.25">
      <c r="D70" s="14"/>
      <c r="E70" s="14"/>
      <c r="F70" s="14"/>
      <c r="G70" s="14"/>
      <c r="I70" s="14"/>
      <c r="J70" s="14"/>
      <c r="L70" s="14"/>
      <c r="M70" s="14"/>
      <c r="O70" s="14"/>
      <c r="P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3"/>
      <c r="AP70" s="3"/>
      <c r="AQ70" s="3"/>
      <c r="BD70" s="36"/>
      <c r="BE70" s="36"/>
    </row>
    <row r="71" spans="1:78" x14ac:dyDescent="0.25">
      <c r="D71" s="14"/>
      <c r="E71" s="14"/>
      <c r="F71" s="14"/>
      <c r="G71" s="14"/>
      <c r="I71" s="14"/>
      <c r="J71" s="14"/>
      <c r="L71" s="14"/>
      <c r="M71" s="14"/>
      <c r="O71" s="14"/>
      <c r="P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3"/>
      <c r="AP71" s="3"/>
      <c r="AQ71" s="3"/>
      <c r="BD71" s="36"/>
      <c r="BE71" s="36"/>
    </row>
    <row r="72" spans="1:78" x14ac:dyDescent="0.25">
      <c r="B72" s="26" t="s">
        <v>25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AU72" s="5"/>
      <c r="AW72" s="5"/>
      <c r="AX72" s="5"/>
      <c r="AZ72" s="5"/>
      <c r="BD72" s="36"/>
      <c r="BE72" s="36"/>
    </row>
    <row r="73" spans="1:78" x14ac:dyDescent="0.25">
      <c r="B73" s="1" t="s">
        <v>9</v>
      </c>
      <c r="D73" s="4">
        <f>D13-D24</f>
        <v>61057000</v>
      </c>
      <c r="E73" s="4"/>
      <c r="F73" s="4"/>
      <c r="G73" s="4">
        <f>G13-G24</f>
        <v>-62890000</v>
      </c>
      <c r="I73" s="4"/>
      <c r="J73" s="4">
        <f>J13-J24</f>
        <v>2470011</v>
      </c>
      <c r="K73" s="4"/>
      <c r="L73" s="4"/>
      <c r="M73" s="4">
        <f t="shared" ref="M73:P73" si="54">M13-M24</f>
        <v>11878829</v>
      </c>
      <c r="N73" s="4"/>
      <c r="O73" s="4"/>
      <c r="P73" s="4">
        <f t="shared" si="54"/>
        <v>28063209</v>
      </c>
      <c r="S73" s="4">
        <f>S13-S24</f>
        <v>3239609.065440001</v>
      </c>
      <c r="T73" s="4"/>
      <c r="U73" s="4"/>
      <c r="V73" s="4">
        <f>V13-V24</f>
        <v>4869033.95</v>
      </c>
      <c r="W73" s="4"/>
      <c r="X73" s="4"/>
      <c r="Y73" s="4">
        <f>Y13-Y24</f>
        <v>2157477</v>
      </c>
      <c r="Z73" s="4"/>
      <c r="AA73" s="4"/>
      <c r="AB73" s="4">
        <f>AB13-AB24</f>
        <v>1433835.6949400001</v>
      </c>
      <c r="AC73" s="4"/>
      <c r="AD73" s="4"/>
      <c r="AE73" s="4">
        <f>AE13-AE24</f>
        <v>1591656.65114217</v>
      </c>
      <c r="AF73" s="4"/>
      <c r="AG73" s="4"/>
      <c r="AH73" s="4">
        <f>AH13-AH24</f>
        <v>896866.91914999951</v>
      </c>
      <c r="AI73" s="4"/>
      <c r="AJ73" s="4"/>
      <c r="AK73" s="4">
        <f>AK13-AK24</f>
        <v>611807</v>
      </c>
      <c r="AL73" s="4"/>
      <c r="AM73" s="4"/>
      <c r="AN73" s="4">
        <f>AN13-AN24</f>
        <v>417146.66000000003</v>
      </c>
      <c r="AO73" s="4"/>
      <c r="AP73" s="4"/>
      <c r="AQ73" s="4"/>
      <c r="AR73" s="4">
        <f>AR13-AR24</f>
        <v>164076</v>
      </c>
      <c r="AS73" s="4"/>
      <c r="AT73" s="4"/>
      <c r="AU73" s="4">
        <f>AU13-AU24</f>
        <v>59113.119999999995</v>
      </c>
      <c r="AV73" s="4"/>
      <c r="AW73" s="4"/>
      <c r="AX73" s="4">
        <f>AX13-AX24</f>
        <v>7716837</v>
      </c>
      <c r="AY73" s="4"/>
      <c r="AZ73" s="4"/>
      <c r="BA73" s="4">
        <f>BA13-BA24</f>
        <v>4282093</v>
      </c>
      <c r="BB73" s="4"/>
      <c r="BC73" s="4"/>
      <c r="BD73" s="36"/>
      <c r="BE73" s="4">
        <f>BE13-BE24</f>
        <v>68963</v>
      </c>
      <c r="BH73" s="4">
        <f>BH13-BH24</f>
        <v>41465</v>
      </c>
      <c r="BK73" s="4">
        <f>BK13-BK24</f>
        <v>40730</v>
      </c>
      <c r="BN73" s="4">
        <f>BN13-BN24</f>
        <v>28932</v>
      </c>
      <c r="BQ73" s="4">
        <f>BQ13-BQ24</f>
        <v>22343</v>
      </c>
      <c r="BT73" s="4">
        <f>BT13-BT24</f>
        <v>32319</v>
      </c>
      <c r="BW73" s="4">
        <f>BW13-BW24</f>
        <v>26519.5</v>
      </c>
      <c r="BZ73" s="4">
        <f>BZ13-BZ24</f>
        <v>32117</v>
      </c>
    </row>
    <row r="74" spans="1:78" x14ac:dyDescent="0.25">
      <c r="B74" s="1" t="s">
        <v>10</v>
      </c>
      <c r="D74" s="4">
        <f>D73+(D14-D13)</f>
        <v>79234000</v>
      </c>
      <c r="E74" s="4"/>
      <c r="F74" s="4"/>
      <c r="G74" s="4">
        <f>G73+(G14-G13)</f>
        <v>20023000</v>
      </c>
      <c r="I74" s="4"/>
      <c r="J74" s="4">
        <f>J73+(J14-J13)</f>
        <v>5675669</v>
      </c>
      <c r="K74" s="4"/>
      <c r="L74" s="4"/>
      <c r="M74" s="4">
        <f t="shared" ref="M74" si="55">M73+(M14-M13)</f>
        <v>11878829</v>
      </c>
      <c r="N74" s="4"/>
      <c r="O74" s="4"/>
      <c r="P74" s="4">
        <f>P73</f>
        <v>28063209</v>
      </c>
      <c r="S74" s="4">
        <f>S73+(S14-S13)</f>
        <v>3504847.9042269131</v>
      </c>
      <c r="T74" s="4"/>
      <c r="U74" s="4"/>
      <c r="V74" s="4">
        <f>V73+(V14-V13)</f>
        <v>5127548.8</v>
      </c>
      <c r="W74" s="4"/>
      <c r="X74" s="4"/>
      <c r="Y74" s="4">
        <f>Y73+(Y14-Y13)</f>
        <v>2240810.678934515</v>
      </c>
      <c r="Z74" s="4"/>
      <c r="AA74" s="4"/>
      <c r="AB74" s="4">
        <f>AB73+(AB14-AB13)</f>
        <v>1820513.3782649753</v>
      </c>
      <c r="AC74" s="4"/>
      <c r="AD74" s="4"/>
      <c r="AE74" s="4">
        <f>AE73+(AE14-AE13)</f>
        <v>2102919.9178958801</v>
      </c>
      <c r="AF74" s="4"/>
      <c r="AG74" s="4"/>
      <c r="AH74" s="4">
        <f>AH73+(AH14-AH13)</f>
        <v>1086078.3478492866</v>
      </c>
      <c r="AI74" s="4"/>
      <c r="AJ74" s="4"/>
      <c r="AK74" s="4">
        <f>AK73+(AK14-AK13)</f>
        <v>641152.073799851</v>
      </c>
      <c r="AL74" s="4"/>
      <c r="AM74" s="4"/>
      <c r="AN74" s="4">
        <f>AN73+(AN14-AN13)</f>
        <v>442621.19250000006</v>
      </c>
      <c r="AO74" s="4"/>
      <c r="AP74" s="4"/>
      <c r="AQ74" s="4"/>
      <c r="AR74" s="4">
        <f>AR73+(AR14-AR13)</f>
        <v>269367</v>
      </c>
      <c r="AS74" s="4"/>
      <c r="AT74" s="4"/>
      <c r="AU74" s="4">
        <f>AU73+(AU14-AU13)</f>
        <v>79413.982999999993</v>
      </c>
      <c r="AV74" s="4"/>
      <c r="AW74" s="4"/>
      <c r="AX74" s="4">
        <f>AX73+(AX14-AX13)</f>
        <v>8979043</v>
      </c>
      <c r="AY74" s="4"/>
      <c r="AZ74" s="4"/>
      <c r="BA74" s="4">
        <f>BA73+(BA14-BA13)</f>
        <v>4623514</v>
      </c>
      <c r="BB74" s="4"/>
      <c r="BC74" s="4"/>
      <c r="BD74" s="36"/>
      <c r="BE74" s="4">
        <f>BE73+(BE14-BE13)</f>
        <v>96204</v>
      </c>
      <c r="BH74" s="4">
        <f>BH73+(BH14-BH13)</f>
        <v>46697</v>
      </c>
      <c r="BK74" s="4">
        <f>BK73+(BK14-BK13)</f>
        <v>45570</v>
      </c>
      <c r="BN74" s="4">
        <f>BN73+(BN14-BN13)</f>
        <v>31836</v>
      </c>
      <c r="BQ74" s="4">
        <f>BQ73+(BQ14-BQ13)</f>
        <v>33108</v>
      </c>
      <c r="BT74" s="4">
        <f>BT73+(BT14-BT13)</f>
        <v>33931</v>
      </c>
      <c r="BW74" s="4">
        <f>BW73+(BW14-BW13)</f>
        <v>33278.5</v>
      </c>
      <c r="BZ74" s="4">
        <f>BZ73+(BZ14-BZ13)</f>
        <v>45037</v>
      </c>
    </row>
    <row r="75" spans="1:78" x14ac:dyDescent="0.25">
      <c r="B75" s="1" t="s">
        <v>70</v>
      </c>
      <c r="D75" s="4">
        <f>D15-D24</f>
        <v>1017586000</v>
      </c>
      <c r="E75" s="4"/>
      <c r="F75" s="4"/>
      <c r="G75" s="4">
        <f>G15-G24</f>
        <v>990611000</v>
      </c>
      <c r="I75" s="4"/>
      <c r="J75" s="4">
        <f>J15-J24</f>
        <v>83365294</v>
      </c>
      <c r="K75" s="4"/>
      <c r="L75" s="4"/>
      <c r="M75" s="4">
        <f t="shared" ref="M75:P75" si="56">M15-M24</f>
        <v>15004964</v>
      </c>
      <c r="N75" s="4"/>
      <c r="O75" s="4"/>
      <c r="P75" s="4">
        <f t="shared" si="56"/>
        <v>128018535</v>
      </c>
      <c r="S75" s="4">
        <f>S15-S24</f>
        <v>19839468.102952972</v>
      </c>
      <c r="T75" s="4"/>
      <c r="U75" s="4"/>
      <c r="V75" s="4">
        <f>V15-V24</f>
        <v>14961450.899999999</v>
      </c>
      <c r="W75" s="4"/>
      <c r="X75" s="4"/>
      <c r="Y75" s="4">
        <f>Y15-Y24</f>
        <v>12721407.703904368</v>
      </c>
      <c r="Z75" s="4"/>
      <c r="AA75" s="4"/>
      <c r="AB75" s="4">
        <f>AB15-AB24</f>
        <v>7182726.4489354752</v>
      </c>
      <c r="AC75" s="4"/>
      <c r="AD75" s="4"/>
      <c r="AE75" s="4">
        <f>AE15-AE24</f>
        <v>7212956.58797222</v>
      </c>
      <c r="AF75" s="4"/>
      <c r="AG75" s="4"/>
      <c r="AH75" s="4">
        <f>AH15-AH24</f>
        <v>6750076.3295429526</v>
      </c>
      <c r="AI75" s="4"/>
      <c r="AJ75" s="4"/>
      <c r="AK75" s="4">
        <f>AK15-AK24</f>
        <v>2360082.6383880773</v>
      </c>
      <c r="AL75" s="4"/>
      <c r="AM75" s="4"/>
      <c r="AN75" s="4">
        <f>AN15-AN24</f>
        <v>1055021.8939999999</v>
      </c>
      <c r="AO75" s="4"/>
      <c r="AP75" s="4"/>
      <c r="AQ75" s="4"/>
      <c r="AR75" s="4">
        <f>AR15-AR24</f>
        <v>1330353</v>
      </c>
      <c r="AS75" s="4"/>
      <c r="AT75" s="4"/>
      <c r="AU75" s="4">
        <f>AU15-AU24</f>
        <v>521300.82800000004</v>
      </c>
      <c r="AV75" s="4"/>
      <c r="AW75" s="4"/>
      <c r="AX75" s="4">
        <f>AX15-AX24</f>
        <v>74460055.682634726</v>
      </c>
      <c r="AY75" s="4"/>
      <c r="AZ75" s="4"/>
      <c r="BA75" s="4">
        <f>BA15-BA24</f>
        <v>18916061</v>
      </c>
      <c r="BB75" s="4"/>
      <c r="BC75" s="4"/>
      <c r="BD75" s="36"/>
      <c r="BE75" s="4">
        <f>BE15-BE24</f>
        <v>618715</v>
      </c>
      <c r="BH75" s="4">
        <f>BH15-BH24</f>
        <v>478320</v>
      </c>
      <c r="BK75" s="4">
        <f>BK15-BK24</f>
        <v>270192</v>
      </c>
      <c r="BN75" s="4">
        <f>BN15-BN24</f>
        <v>294092</v>
      </c>
      <c r="BQ75" s="4">
        <f>BQ15-BQ24</f>
        <v>258322</v>
      </c>
      <c r="BT75" s="4">
        <f>BT15-BT24</f>
        <v>214416</v>
      </c>
      <c r="BW75" s="4">
        <f>BW15-BW24</f>
        <v>217151.5</v>
      </c>
      <c r="BZ75" s="4">
        <f>BZ15-BZ24</f>
        <v>289513</v>
      </c>
    </row>
    <row r="76" spans="1:78" s="61" customFormat="1" x14ac:dyDescent="0.25">
      <c r="A76" s="59"/>
      <c r="B76" s="59" t="s">
        <v>11</v>
      </c>
      <c r="C76" s="59"/>
      <c r="D76" s="62">
        <f>D73/D75</f>
        <v>6.0001808200977606E-2</v>
      </c>
      <c r="E76" s="62"/>
      <c r="F76" s="62"/>
      <c r="G76" s="62">
        <f>G73/G75</f>
        <v>-6.3486070717971035E-2</v>
      </c>
      <c r="H76" s="59"/>
      <c r="I76" s="62"/>
      <c r="J76" s="62">
        <f>J73/J75</f>
        <v>2.9628768537660288E-2</v>
      </c>
      <c r="K76" s="62"/>
      <c r="L76" s="62"/>
      <c r="M76" s="62">
        <f t="shared" ref="M76:P76" si="57">M73/M75</f>
        <v>0.79165994666831585</v>
      </c>
      <c r="N76" s="62"/>
      <c r="O76" s="62"/>
      <c r="P76" s="62">
        <f t="shared" si="57"/>
        <v>0.21921207737613932</v>
      </c>
      <c r="Q76" s="59"/>
      <c r="R76" s="59"/>
      <c r="S76" s="62">
        <f>S73/S75</f>
        <v>0.16329112497516035</v>
      </c>
      <c r="T76" s="62"/>
      <c r="U76" s="62"/>
      <c r="V76" s="62">
        <f t="shared" ref="V76" si="58">V73/V75</f>
        <v>0.32543862106314841</v>
      </c>
      <c r="W76" s="62"/>
      <c r="X76" s="62"/>
      <c r="Y76" s="62">
        <f t="shared" ref="Y76" si="59">Y73/Y75</f>
        <v>0.16959420295427224</v>
      </c>
      <c r="Z76" s="62"/>
      <c r="AA76" s="62"/>
      <c r="AB76" s="62">
        <f t="shared" ref="AB76" si="60">AB73/AB75</f>
        <v>0.19962276234987392</v>
      </c>
      <c r="AC76" s="62"/>
      <c r="AD76" s="62"/>
      <c r="AE76" s="62">
        <f t="shared" ref="AE76" si="61">AE73/AE75</f>
        <v>0.220666328949809</v>
      </c>
      <c r="AF76" s="62"/>
      <c r="AG76" s="62"/>
      <c r="AH76" s="62">
        <f t="shared" ref="AH76" si="62">AH73/AH75</f>
        <v>0.13286767072909919</v>
      </c>
      <c r="AI76" s="62"/>
      <c r="AJ76" s="62"/>
      <c r="AK76" s="62">
        <f t="shared" ref="AK76" si="63">AK73/AK75</f>
        <v>0.25923117692940645</v>
      </c>
      <c r="AL76" s="62"/>
      <c r="AM76" s="62"/>
      <c r="AN76" s="62">
        <f t="shared" ref="AN76" si="64">AN73/AN75</f>
        <v>0.39539147232142663</v>
      </c>
      <c r="AO76" s="62"/>
      <c r="AP76" s="62"/>
      <c r="AQ76" s="62"/>
      <c r="AR76" s="62">
        <f t="shared" ref="AR76" si="65">AR73/AR75</f>
        <v>0.12333267937156529</v>
      </c>
      <c r="AS76" s="62"/>
      <c r="AT76" s="62"/>
      <c r="AU76" s="62">
        <f t="shared" ref="AU76" si="66">AU73/AU75</f>
        <v>0.11339540784308901</v>
      </c>
      <c r="AV76" s="62"/>
      <c r="AW76" s="62"/>
      <c r="AX76" s="62">
        <f t="shared" ref="AX76" si="67">AX73/AX75</f>
        <v>0.10363727141020242</v>
      </c>
      <c r="AY76" s="62"/>
      <c r="AZ76" s="62"/>
      <c r="BA76" s="62">
        <f t="shared" ref="BA76" si="68">BA73/BA75</f>
        <v>0.22637339771742118</v>
      </c>
      <c r="BB76" s="60"/>
      <c r="BC76" s="60"/>
      <c r="BE76" s="62">
        <f t="shared" ref="BE76" si="69">BE73/BE75</f>
        <v>0.11146165843724494</v>
      </c>
      <c r="BH76" s="62">
        <f t="shared" ref="BH76" si="70">BH73/BH75</f>
        <v>8.6688827563137644E-2</v>
      </c>
      <c r="BK76" s="62">
        <f t="shared" ref="BK76" si="71">BK73/BK75</f>
        <v>0.1507446556522769</v>
      </c>
      <c r="BN76" s="62">
        <f>BN73/BN75</f>
        <v>9.8377378507405841E-2</v>
      </c>
      <c r="BQ76" s="62">
        <f t="shared" ref="BQ76" si="72">BQ73/BQ75</f>
        <v>8.6492826782078175E-2</v>
      </c>
      <c r="BT76" s="62">
        <f t="shared" ref="BT76" si="73">BT73/BT75</f>
        <v>0.1507303559435863</v>
      </c>
      <c r="BW76" s="62">
        <f t="shared" ref="BW76" si="74">BW73/BW75</f>
        <v>0.12212441544267481</v>
      </c>
      <c r="BZ76" s="62">
        <f t="shared" ref="BZ76" si="75">BZ73/BZ75</f>
        <v>0.11093456943211531</v>
      </c>
    </row>
    <row r="77" spans="1:78" s="61" customFormat="1" x14ac:dyDescent="0.25">
      <c r="A77" s="59"/>
      <c r="B77" s="59" t="s">
        <v>12</v>
      </c>
      <c r="C77" s="59"/>
      <c r="D77" s="62">
        <f>D74/D75</f>
        <v>7.7864671880312819E-2</v>
      </c>
      <c r="E77" s="62"/>
      <c r="F77" s="62"/>
      <c r="G77" s="62">
        <f>G74/G75</f>
        <v>2.0212777770487102E-2</v>
      </c>
      <c r="H77" s="59"/>
      <c r="I77" s="62"/>
      <c r="J77" s="62">
        <f>J74/J75</f>
        <v>6.8081916678660065E-2</v>
      </c>
      <c r="K77" s="62"/>
      <c r="L77" s="62"/>
      <c r="M77" s="62">
        <f t="shared" ref="M77:P77" si="76">M74/M75</f>
        <v>0.79165994666831585</v>
      </c>
      <c r="N77" s="62"/>
      <c r="O77" s="62"/>
      <c r="P77" s="62">
        <f t="shared" si="76"/>
        <v>0.21921207737613932</v>
      </c>
      <c r="Q77" s="59"/>
      <c r="R77" s="59"/>
      <c r="S77" s="62">
        <f>S74/S75</f>
        <v>0.17666037647981297</v>
      </c>
      <c r="T77" s="62"/>
      <c r="U77" s="62"/>
      <c r="V77" s="62">
        <f t="shared" ref="V77:BA77" si="77">V74/V75</f>
        <v>0.34271734969233503</v>
      </c>
      <c r="W77" s="62"/>
      <c r="X77" s="62"/>
      <c r="Y77" s="62">
        <f t="shared" si="77"/>
        <v>0.17614486785505512</v>
      </c>
      <c r="Z77" s="62"/>
      <c r="AA77" s="62"/>
      <c r="AB77" s="62">
        <f t="shared" si="77"/>
        <v>0.25345715045778844</v>
      </c>
      <c r="AC77" s="62"/>
      <c r="AD77" s="62"/>
      <c r="AE77" s="62">
        <f t="shared" si="77"/>
        <v>0.2915475633670872</v>
      </c>
      <c r="AF77" s="62"/>
      <c r="AG77" s="62"/>
      <c r="AH77" s="62">
        <f t="shared" si="77"/>
        <v>0.1608986765224957</v>
      </c>
      <c r="AI77" s="62"/>
      <c r="AJ77" s="62"/>
      <c r="AK77" s="62">
        <f t="shared" si="77"/>
        <v>0.27166509484504919</v>
      </c>
      <c r="AL77" s="62"/>
      <c r="AM77" s="62"/>
      <c r="AN77" s="62">
        <f t="shared" si="77"/>
        <v>0.4195374475328188</v>
      </c>
      <c r="AO77" s="62"/>
      <c r="AP77" s="62"/>
      <c r="AQ77" s="62"/>
      <c r="AR77" s="62">
        <f t="shared" si="77"/>
        <v>0.20247783858870541</v>
      </c>
      <c r="AS77" s="62"/>
      <c r="AT77" s="62"/>
      <c r="AU77" s="62">
        <f t="shared" si="77"/>
        <v>0.15233811023219782</v>
      </c>
      <c r="AV77" s="62"/>
      <c r="AW77" s="62"/>
      <c r="AX77" s="62">
        <f t="shared" si="77"/>
        <v>0.12058872260679837</v>
      </c>
      <c r="AY77" s="62"/>
      <c r="AZ77" s="62"/>
      <c r="BA77" s="62">
        <f t="shared" si="77"/>
        <v>0.24442266283662334</v>
      </c>
      <c r="BB77" s="60"/>
      <c r="BC77" s="60"/>
      <c r="BE77" s="62">
        <f t="shared" ref="BE77" si="78">BE74/BE75</f>
        <v>0.15549000751557665</v>
      </c>
      <c r="BH77" s="62">
        <f t="shared" ref="BH77" si="79">BH74/BH75</f>
        <v>9.7627111557116578E-2</v>
      </c>
      <c r="BK77" s="62">
        <f t="shared" ref="BK77" si="80">BK74/BK75</f>
        <v>0.168657843311423</v>
      </c>
      <c r="BN77" s="62">
        <f t="shared" ref="BN77" si="81">BN74/BN75</f>
        <v>0.10825183956040967</v>
      </c>
      <c r="BQ77" s="62">
        <f t="shared" ref="BQ77" si="82">BQ74/BQ75</f>
        <v>0.12816562274990129</v>
      </c>
      <c r="BT77" s="62">
        <f t="shared" ref="BT77" si="83">BT74/BT75</f>
        <v>0.15824845160808895</v>
      </c>
      <c r="BW77" s="62">
        <f t="shared" ref="BW77" si="84">BW74/BW75</f>
        <v>0.15325015024073055</v>
      </c>
      <c r="BZ77" s="62">
        <f t="shared" ref="BZ77" si="85">BZ74/BZ75</f>
        <v>0.15556123559218413</v>
      </c>
    </row>
    <row r="78" spans="1:78" x14ac:dyDescent="0.25">
      <c r="D78" s="14"/>
      <c r="E78" s="14"/>
      <c r="F78" s="14"/>
      <c r="G78" s="14"/>
      <c r="I78" s="14"/>
      <c r="J78" s="14"/>
      <c r="L78" s="14"/>
      <c r="M78" s="14"/>
      <c r="O78" s="14"/>
      <c r="P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3"/>
      <c r="AP78" s="3"/>
      <c r="AQ78" s="3"/>
      <c r="BD78" s="36"/>
      <c r="BE78" s="36"/>
    </row>
    <row r="79" spans="1:78" x14ac:dyDescent="0.25">
      <c r="D79" s="14"/>
      <c r="E79" s="14"/>
      <c r="F79" s="14"/>
      <c r="G79" s="14"/>
      <c r="I79" s="14"/>
      <c r="J79" s="14"/>
      <c r="L79" s="14"/>
      <c r="M79" s="14"/>
      <c r="O79" s="14"/>
      <c r="P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3"/>
      <c r="AP79" s="3"/>
      <c r="AQ79" s="3"/>
      <c r="BD79" s="36"/>
      <c r="BE79" s="36"/>
    </row>
    <row r="80" spans="1:78" x14ac:dyDescent="0.25">
      <c r="A80" s="14"/>
      <c r="B80" s="26" t="s">
        <v>47</v>
      </c>
      <c r="AL80" s="3"/>
      <c r="AO80" s="3"/>
      <c r="AP80" s="3"/>
      <c r="AQ80" s="3"/>
      <c r="BD80" s="36"/>
      <c r="BE80" s="36"/>
    </row>
    <row r="81" spans="1:78" x14ac:dyDescent="0.25">
      <c r="A81" s="14">
        <f t="shared" ref="A81:A82" si="86">AVERAGE(S81:AK81)</f>
        <v>0.13880723488730018</v>
      </c>
      <c r="B81" s="1" t="s">
        <v>32</v>
      </c>
      <c r="D81" s="14">
        <f>D38-D40</f>
        <v>9.7000000000000003E-2</v>
      </c>
      <c r="E81" s="14"/>
      <c r="F81" s="14"/>
      <c r="G81" s="14">
        <f>G38-G40</f>
        <v>3.6000000000000004E-2</v>
      </c>
      <c r="I81" s="14"/>
      <c r="J81" s="14">
        <f>J38-J40</f>
        <v>7.7999999999999986E-2</v>
      </c>
      <c r="L81" s="14"/>
      <c r="M81" s="14"/>
      <c r="O81" s="14"/>
      <c r="P81" s="14"/>
      <c r="S81" s="14">
        <f>S38-S40</f>
        <v>0.11422731167049271</v>
      </c>
      <c r="V81" s="14">
        <f>V38-V40</f>
        <v>0.21000000000000002</v>
      </c>
      <c r="Y81" s="14">
        <f>Y38-Y40</f>
        <v>6.7599999999999993E-2</v>
      </c>
      <c r="AB81" s="14">
        <f>AB38-AB40</f>
        <v>0.14427938469846091</v>
      </c>
      <c r="AE81" s="14">
        <f>AE38-AE40</f>
        <v>0.17460000000000001</v>
      </c>
      <c r="AH81" s="14">
        <f>AH38-AH40</f>
        <v>6.5409119975801067E-2</v>
      </c>
      <c r="AK81" s="14">
        <f>AK38-AK40</f>
        <v>0.19553482786634668</v>
      </c>
      <c r="AL81" s="14"/>
      <c r="AM81" s="14"/>
      <c r="AN81" s="45" t="s">
        <v>69</v>
      </c>
      <c r="AR81" s="5">
        <f>AR38-AR40</f>
        <v>3.0199999999999991E-2</v>
      </c>
      <c r="AS81" s="5"/>
      <c r="AT81" s="5"/>
      <c r="AU81" s="5">
        <f>AU38-AU40</f>
        <v>1.4699999999999991E-2</v>
      </c>
      <c r="AV81" s="5"/>
      <c r="AW81" s="5"/>
      <c r="AX81" s="5">
        <f>AX38-AX40</f>
        <v>9.9999999999998701E-4</v>
      </c>
      <c r="AY81" s="5"/>
      <c r="AZ81" s="5"/>
      <c r="BA81" s="5">
        <f>BA38-BA40</f>
        <v>8.6099999999999996E-2</v>
      </c>
      <c r="BD81" s="36"/>
      <c r="BE81" s="45" t="s">
        <v>69</v>
      </c>
      <c r="BH81" s="45" t="s">
        <v>69</v>
      </c>
      <c r="BK81" s="45" t="s">
        <v>69</v>
      </c>
      <c r="BN81" s="45" t="s">
        <v>69</v>
      </c>
      <c r="BQ81" s="45" t="s">
        <v>69</v>
      </c>
      <c r="BT81" s="45" t="s">
        <v>69</v>
      </c>
      <c r="BW81" s="45" t="s">
        <v>69</v>
      </c>
      <c r="BZ81" s="45" t="s">
        <v>69</v>
      </c>
    </row>
    <row r="82" spans="1:78" x14ac:dyDescent="0.25">
      <c r="A82" s="14">
        <f t="shared" si="86"/>
        <v>0.12191048370130884</v>
      </c>
      <c r="B82" s="1" t="s">
        <v>33</v>
      </c>
      <c r="D82" s="14">
        <f>D39-D41</f>
        <v>9.799999999999999E-2</v>
      </c>
      <c r="E82" s="14"/>
      <c r="F82" s="14"/>
      <c r="G82" s="14">
        <f>G39-G41</f>
        <v>9.1999999999999985E-2</v>
      </c>
      <c r="I82" s="14"/>
      <c r="J82" s="14">
        <f>J39-J41</f>
        <v>9.6999999999999989E-2</v>
      </c>
      <c r="L82" s="14"/>
      <c r="M82" s="14"/>
      <c r="O82" s="14"/>
      <c r="P82" s="14"/>
      <c r="S82" s="14">
        <f>S39-S41</f>
        <v>9.7492894297890847E-2</v>
      </c>
      <c r="V82" s="14">
        <f>V39-V41</f>
        <v>0.16899999999999998</v>
      </c>
      <c r="Y82" s="14">
        <f>Y39-Y41</f>
        <v>4.41E-2</v>
      </c>
      <c r="AB82" s="14">
        <f>AB39-AB41</f>
        <v>0.13801494108902046</v>
      </c>
      <c r="AE82" s="14">
        <f>AE39-AE41</f>
        <v>0.18009999999999998</v>
      </c>
      <c r="AH82" s="14">
        <f>AH39-AH41</f>
        <v>5.4078642577399472E-2</v>
      </c>
      <c r="AK82" s="14">
        <f>AK39-AK41</f>
        <v>0.17058690794485104</v>
      </c>
      <c r="AL82" s="14"/>
      <c r="AM82" s="14"/>
      <c r="AN82" s="14">
        <f>AN39-AN41</f>
        <v>0.28469206508399425</v>
      </c>
      <c r="AR82" s="5">
        <f>AR39-AR41</f>
        <v>9.1399999999999995E-2</v>
      </c>
      <c r="AS82" s="5"/>
      <c r="AT82" s="5"/>
      <c r="AU82" s="5">
        <f>AU39-AU41</f>
        <v>4.1100000000000012E-2</v>
      </c>
      <c r="AV82" s="5"/>
      <c r="AW82" s="5"/>
      <c r="AX82" s="5">
        <f>AX39-AX41</f>
        <v>7.3000000000000009E-3</v>
      </c>
      <c r="AY82" s="5"/>
      <c r="AZ82" s="5"/>
      <c r="BA82" s="5">
        <f>BA39-BA41</f>
        <v>0.10080000000000001</v>
      </c>
      <c r="BD82" s="36"/>
      <c r="BE82" s="14">
        <f>BE39-BE41</f>
        <v>1.7000000000000015E-2</v>
      </c>
      <c r="BH82" s="14">
        <f>BH39-BH41</f>
        <v>1.0000000000000009E-2</v>
      </c>
      <c r="BK82" s="14">
        <f>BK39-BK41</f>
        <v>3.8400000000000017E-2</v>
      </c>
      <c r="BN82" s="14">
        <f>BN39-BN41</f>
        <v>1.8600000000000005E-2</v>
      </c>
      <c r="BQ82" s="14">
        <f>BQ39-BQ41</f>
        <v>2.3400000000000004E-2</v>
      </c>
      <c r="BT82" s="14">
        <f>BT39-BT41</f>
        <v>4.2099999999999999E-2</v>
      </c>
      <c r="BW82" s="14">
        <f>BW39-BW41</f>
        <v>3.4099999999999991E-2</v>
      </c>
      <c r="BZ82" s="14">
        <f>BZ39-BZ41</f>
        <v>3.8099999999999995E-2</v>
      </c>
    </row>
    <row r="83" spans="1:78" x14ac:dyDescent="0.25">
      <c r="BD83" s="36"/>
      <c r="BE83" s="36"/>
    </row>
    <row r="84" spans="1:78" x14ac:dyDescent="0.25">
      <c r="B84" s="26" t="s">
        <v>49</v>
      </c>
      <c r="AM84" s="14"/>
      <c r="AN84" s="14"/>
      <c r="BD84" s="36"/>
      <c r="BE84" s="36"/>
    </row>
    <row r="85" spans="1:78" x14ac:dyDescent="0.25">
      <c r="A85" s="14">
        <f>AVERAGE(S85:AK85)</f>
        <v>0.14906149158673795</v>
      </c>
      <c r="B85" s="1" t="s">
        <v>44</v>
      </c>
      <c r="D85" s="14">
        <f>D10/AVERAGE(C9:D9)</f>
        <v>0.14744200182352346</v>
      </c>
      <c r="E85" s="14"/>
      <c r="F85" s="14"/>
      <c r="G85" s="14">
        <f>G10/AVERAGE(F9:G9)</f>
        <v>7.7709646115577097E-2</v>
      </c>
      <c r="I85" s="14"/>
      <c r="J85" s="14">
        <f>J10/AVERAGE(I9:J9)</f>
        <v>0.10156941932618897</v>
      </c>
      <c r="L85" s="14"/>
      <c r="M85" s="14">
        <f>M10/AVERAGE(L9:M9)</f>
        <v>6.2807293547537016E-2</v>
      </c>
      <c r="O85" s="14"/>
      <c r="P85" s="14">
        <f>P10/AVERAGE(O9:P9)</f>
        <v>0.40885832922865162</v>
      </c>
      <c r="S85" s="14">
        <f>S10/AVERAGE(R9:S9)</f>
        <v>0.18626112858178745</v>
      </c>
      <c r="V85" s="14">
        <f>V10/AVERAGE(U9:V9)</f>
        <v>9.3509807511656412E-2</v>
      </c>
      <c r="Y85" s="14">
        <f>Y10/AVERAGE(X9:Y9)</f>
        <v>0.2286881461661317</v>
      </c>
      <c r="AB85" s="14">
        <f>AB10/AVERAGE(AA9:AB9)</f>
        <v>0.19682528446991807</v>
      </c>
      <c r="AE85" s="14">
        <f>AE10/AVERAGE(AD9:AE9)</f>
        <v>0.22237622580823727</v>
      </c>
      <c r="AH85" s="14">
        <f>AH10/AVERAGE(AG9:AH9)</f>
        <v>4.1102175807470692E-2</v>
      </c>
      <c r="AK85" s="14">
        <f>AK10/AVERAGE(AJ9:AK9)</f>
        <v>7.4667672761964274E-2</v>
      </c>
      <c r="AL85" s="14"/>
      <c r="AM85" s="14"/>
      <c r="AN85" s="14">
        <f>AN10/AVERAGE(AM9:AN9)</f>
        <v>5.642640505973557E-2</v>
      </c>
      <c r="AR85" s="14">
        <f>AR10/AVERAGE(AQ9:AR9)</f>
        <v>0.19324864862946362</v>
      </c>
      <c r="AS85" s="14"/>
      <c r="AU85" s="14">
        <f>AU10/AVERAGE(AT9:AU9)</f>
        <v>0.1234537994734088</v>
      </c>
      <c r="AV85" s="14"/>
      <c r="AX85" s="14">
        <f>AX10/AVERAGE(AW9:AX9)</f>
        <v>0.11895080154326854</v>
      </c>
      <c r="AY85" s="14"/>
      <c r="BA85" s="14">
        <f>BA10/AVERAGE(AZ9:BA9)</f>
        <v>0.14197741800095023</v>
      </c>
      <c r="BD85" s="36"/>
      <c r="BE85" s="14">
        <f>BE10/AVERAGE(BD9:BE9)</f>
        <v>0.13154301890101081</v>
      </c>
      <c r="BH85" s="14">
        <f>BH10/AVERAGE(BG9:BH9)</f>
        <v>9.4004677716925486E-2</v>
      </c>
      <c r="BK85" s="14">
        <f>BK10/AVERAGE(BJ9:BK9)</f>
        <v>0.10025356271665169</v>
      </c>
      <c r="BN85" s="14">
        <f>BN10/AVERAGE(BM9:BN9)</f>
        <v>0.16016328490815224</v>
      </c>
      <c r="BQ85" s="14">
        <f>BQ10/AVERAGE(BP9:BQ9)</f>
        <v>0.13040293040293041</v>
      </c>
      <c r="BT85" s="14">
        <f>BT10/AVERAGE(BS9:BT9)</f>
        <v>1.4232707537243174E-2</v>
      </c>
      <c r="BW85" s="14">
        <f>BW10/AVERAGE(BV9:BW9)</f>
        <v>6.4955407090112841E-2</v>
      </c>
      <c r="BZ85" s="14">
        <f>BZ10/AVERAGE(BY9:BZ9)</f>
        <v>0.12665079563964415</v>
      </c>
    </row>
    <row r="86" spans="1:78" x14ac:dyDescent="0.25">
      <c r="BD86" s="36"/>
      <c r="BE86" s="36"/>
    </row>
    <row r="87" spans="1:78" x14ac:dyDescent="0.25">
      <c r="B87" s="26" t="s">
        <v>48</v>
      </c>
      <c r="BD87" s="36"/>
      <c r="BE87" s="36"/>
    </row>
    <row r="88" spans="1:78" x14ac:dyDescent="0.25">
      <c r="B88" s="1" t="s">
        <v>45</v>
      </c>
      <c r="C88" s="14"/>
      <c r="D88" s="14">
        <f>D7/D5</f>
        <v>0.40838254704886473</v>
      </c>
      <c r="E88" s="14"/>
      <c r="F88" s="14"/>
      <c r="G88" s="14">
        <f>G7/G5</f>
        <v>0.63744663187855788</v>
      </c>
      <c r="H88" s="14"/>
      <c r="I88" s="14"/>
      <c r="J88" s="14">
        <f>J7/J5</f>
        <v>0.57196605391739708</v>
      </c>
      <c r="K88" s="14"/>
      <c r="L88" s="14"/>
      <c r="M88" s="14"/>
      <c r="N88" s="14"/>
      <c r="O88" s="14"/>
      <c r="P88" s="14"/>
      <c r="Q88" s="14"/>
      <c r="R88" s="14"/>
      <c r="S88" s="14">
        <f>S7/S5</f>
        <v>0.62567394734989734</v>
      </c>
      <c r="T88" s="14"/>
      <c r="U88" s="14"/>
      <c r="V88" s="14">
        <f>V7/V5</f>
        <v>0.4341729554647531</v>
      </c>
      <c r="W88" s="14"/>
      <c r="X88" s="14"/>
      <c r="Y88" s="14">
        <f>Y7/Y5</f>
        <v>0.40844687553664416</v>
      </c>
      <c r="Z88" s="14"/>
      <c r="AA88" s="14"/>
      <c r="AB88" s="14">
        <f>AB7/AB5</f>
        <v>0.77689179258269381</v>
      </c>
      <c r="AC88" s="14"/>
      <c r="AD88" s="14"/>
      <c r="AE88" s="14">
        <f>AE7/AE5</f>
        <v>0.85571259592027893</v>
      </c>
      <c r="AF88" s="14"/>
      <c r="AG88" s="14"/>
      <c r="AH88" s="14">
        <f>AH7/AH5</f>
        <v>0.72278976376608517</v>
      </c>
      <c r="AI88" s="14"/>
      <c r="AJ88" s="14"/>
      <c r="AK88" s="14">
        <f>AK7/AK5</f>
        <v>0.55750557897846964</v>
      </c>
      <c r="AL88" s="14"/>
      <c r="AM88" s="14"/>
      <c r="AN88" s="14">
        <f>AN7/AN5</f>
        <v>0.89710753560021805</v>
      </c>
      <c r="AO88" s="14"/>
      <c r="AP88" s="14"/>
      <c r="AQ88" s="14"/>
      <c r="AR88" s="14">
        <f>AR7/AR5</f>
        <v>0.33041431511882746</v>
      </c>
      <c r="AS88" s="14"/>
      <c r="AT88" s="14"/>
      <c r="AU88" s="14">
        <f>AU7/AU5</f>
        <v>0.50309152170133775</v>
      </c>
      <c r="AV88" s="14"/>
      <c r="AW88" s="14"/>
      <c r="AX88" s="14">
        <f>AX7/AX5</f>
        <v>0.7847533870163016</v>
      </c>
      <c r="AY88" s="14"/>
      <c r="AZ88" s="14"/>
      <c r="BA88" s="14">
        <f>BA7/BA5</f>
        <v>0.48637282122215597</v>
      </c>
      <c r="BD88" s="14"/>
      <c r="BE88" s="14">
        <f>BE7/BE5</f>
        <v>0.70270634207148086</v>
      </c>
      <c r="BH88" s="14">
        <f>BH7/BH5</f>
        <v>0.68162954928614372</v>
      </c>
      <c r="BK88" s="14">
        <f>BK7/BK5</f>
        <v>0.62866958329525724</v>
      </c>
      <c r="BN88" s="14">
        <f>BN7/BN5</f>
        <v>0.70557025559889797</v>
      </c>
      <c r="BQ88" s="14">
        <f>BQ7/BQ5</f>
        <v>0.69818763895064473</v>
      </c>
      <c r="BT88" s="14">
        <f>BT7/BT5</f>
        <v>0.54094603322688295</v>
      </c>
      <c r="BW88" s="14">
        <f>BW7/BW5</f>
        <v>0.60027530612061286</v>
      </c>
      <c r="BZ88" s="14">
        <f>BZ7/BZ5</f>
        <v>0.32490755368830404</v>
      </c>
    </row>
    <row r="89" spans="1:78" x14ac:dyDescent="0.25">
      <c r="B89" s="1" t="s">
        <v>109</v>
      </c>
      <c r="D89" s="14">
        <f>D8/(D5-D9)</f>
        <v>0.72282747479308962</v>
      </c>
      <c r="E89" s="14"/>
      <c r="F89" s="14"/>
      <c r="G89" s="14">
        <f t="shared" ref="G89:BT89" si="87">G8/(G5-G9)</f>
        <v>0.76172038376308426</v>
      </c>
      <c r="H89" s="14"/>
      <c r="I89" s="14"/>
      <c r="J89" s="14">
        <f t="shared" si="87"/>
        <v>0.86455148631515166</v>
      </c>
      <c r="K89" s="14"/>
      <c r="L89" s="14"/>
      <c r="M89" s="14"/>
      <c r="N89" s="14"/>
      <c r="O89" s="14"/>
      <c r="P89" s="14"/>
      <c r="Q89" s="14"/>
      <c r="R89" s="14"/>
      <c r="S89" s="14">
        <f t="shared" si="87"/>
        <v>0.48838857354648441</v>
      </c>
      <c r="T89" s="14"/>
      <c r="U89" s="14"/>
      <c r="V89" s="14">
        <f t="shared" si="87"/>
        <v>0.84067413310359673</v>
      </c>
      <c r="W89" s="14"/>
      <c r="X89" s="14"/>
      <c r="Y89" s="14">
        <f t="shared" si="87"/>
        <v>0.95149502254576968</v>
      </c>
      <c r="Z89" s="14"/>
      <c r="AA89" s="14"/>
      <c r="AB89" s="14">
        <f t="shared" si="87"/>
        <v>0.36833139770798956</v>
      </c>
      <c r="AC89" s="14"/>
      <c r="AD89" s="14"/>
      <c r="AE89" s="14">
        <f t="shared" si="87"/>
        <v>0.6434586812697024</v>
      </c>
      <c r="AF89" s="14"/>
      <c r="AG89" s="14"/>
      <c r="AH89" s="14">
        <f>AH8/(AH5-AH9)</f>
        <v>0.57932784147804384</v>
      </c>
      <c r="AI89" s="14"/>
      <c r="AJ89" s="14"/>
      <c r="AK89" s="14">
        <f t="shared" si="87"/>
        <v>0.72524019535816031</v>
      </c>
      <c r="AL89" s="14"/>
      <c r="AM89" s="14"/>
      <c r="AN89" s="14">
        <f t="shared" si="87"/>
        <v>0</v>
      </c>
      <c r="AO89" s="14">
        <f t="shared" si="87"/>
        <v>0</v>
      </c>
      <c r="AP89" s="14"/>
      <c r="AQ89" s="14"/>
      <c r="AR89" s="14">
        <f t="shared" si="87"/>
        <v>0.63562825858317362</v>
      </c>
      <c r="AS89" s="14"/>
      <c r="AT89" s="14"/>
      <c r="AU89" s="14">
        <f t="shared" si="87"/>
        <v>0.68053357753002741</v>
      </c>
      <c r="AV89" s="14"/>
      <c r="AW89" s="14"/>
      <c r="AX89" s="14">
        <f t="shared" si="87"/>
        <v>0.96162887595718294</v>
      </c>
      <c r="AY89" s="14"/>
      <c r="AZ89" s="14"/>
      <c r="BA89" s="14">
        <f t="shared" si="87"/>
        <v>0.94802067068716067</v>
      </c>
      <c r="BB89" s="14"/>
      <c r="BC89" s="14"/>
      <c r="BD89" s="14">
        <f t="shared" si="87"/>
        <v>0.61724030140502117</v>
      </c>
      <c r="BE89" s="14">
        <f t="shared" si="87"/>
        <v>0.57839472803189618</v>
      </c>
      <c r="BF89" s="14"/>
      <c r="BG89" s="14"/>
      <c r="BH89" s="14">
        <f t="shared" si="87"/>
        <v>0.60456508531338649</v>
      </c>
      <c r="BI89" s="14"/>
      <c r="BJ89" s="14"/>
      <c r="BK89" s="14">
        <f t="shared" si="87"/>
        <v>0.67819461547072657</v>
      </c>
      <c r="BL89" s="14"/>
      <c r="BM89" s="14"/>
      <c r="BN89" s="14">
        <f t="shared" si="87"/>
        <v>0.68046546092802407</v>
      </c>
      <c r="BO89" s="14"/>
      <c r="BP89" s="14"/>
      <c r="BQ89" s="14">
        <f t="shared" si="87"/>
        <v>0.76619040929486915</v>
      </c>
      <c r="BR89" s="14"/>
      <c r="BS89" s="14"/>
      <c r="BT89" s="14">
        <f t="shared" si="87"/>
        <v>0.41541002480108025</v>
      </c>
      <c r="BU89" s="14"/>
      <c r="BV89" s="14"/>
      <c r="BW89" s="14">
        <f t="shared" ref="BW89:BZ89" si="88">BW8/(BW5-BW9)</f>
        <v>0.50780616758758435</v>
      </c>
      <c r="BX89" s="14"/>
      <c r="BY89" s="14"/>
      <c r="BZ89" s="14">
        <f t="shared" si="88"/>
        <v>0.50060779902112373</v>
      </c>
    </row>
    <row r="90" spans="1:78" x14ac:dyDescent="0.25">
      <c r="B90" s="1" t="s">
        <v>117</v>
      </c>
      <c r="BD90" s="36"/>
      <c r="BH90" s="1"/>
      <c r="BK90" s="1"/>
      <c r="BN90" s="1"/>
      <c r="BQ90" s="1"/>
      <c r="BT90" s="1"/>
      <c r="BW90" s="1"/>
      <c r="BZ90" s="1"/>
    </row>
    <row r="91" spans="1:78" x14ac:dyDescent="0.25">
      <c r="BD91" s="36"/>
      <c r="BH91" s="1"/>
      <c r="BK91" s="1"/>
      <c r="BN91" s="1"/>
      <c r="BQ91" s="1"/>
      <c r="BT91" s="1"/>
      <c r="BW91" s="1"/>
      <c r="BZ91" s="1"/>
    </row>
    <row r="92" spans="1:78" x14ac:dyDescent="0.25">
      <c r="B92" s="26" t="s">
        <v>64</v>
      </c>
      <c r="BD92" s="36"/>
      <c r="BH92" s="1"/>
      <c r="BK92" s="1"/>
      <c r="BN92" s="1"/>
      <c r="BQ92" s="1"/>
      <c r="BT92" s="1"/>
      <c r="BW92" s="1"/>
      <c r="BZ92" s="1"/>
    </row>
    <row r="93" spans="1:78" x14ac:dyDescent="0.25">
      <c r="B93" s="1" t="s">
        <v>58</v>
      </c>
      <c r="D93" s="14">
        <f>D48/D5</f>
        <v>0.18952486583057138</v>
      </c>
      <c r="E93" s="14"/>
      <c r="F93" s="14"/>
      <c r="G93" s="14">
        <f>G48/G5</f>
        <v>0.26249538794012228</v>
      </c>
      <c r="H93" s="14"/>
      <c r="I93" s="14"/>
      <c r="J93" s="14">
        <f>J48/J5</f>
        <v>0.33671168829735071</v>
      </c>
      <c r="K93" s="14"/>
      <c r="L93" s="14"/>
      <c r="M93" s="14">
        <f t="shared" ref="M93:P93" si="89">M48/M5</f>
        <v>0.59229132043972021</v>
      </c>
      <c r="N93" s="14"/>
      <c r="O93" s="14"/>
      <c r="P93" s="14">
        <f t="shared" si="89"/>
        <v>5.5404933730899102E-2</v>
      </c>
      <c r="Q93" s="14"/>
      <c r="R93" s="14"/>
      <c r="S93" s="14">
        <f>S48/S5</f>
        <v>0.32223951678047041</v>
      </c>
      <c r="T93" s="14"/>
      <c r="U93" s="14"/>
      <c r="V93" s="14">
        <f>V48/V5</f>
        <v>0.27957794891204435</v>
      </c>
      <c r="W93" s="14"/>
      <c r="X93" s="14"/>
      <c r="Y93" s="14">
        <f>Y48/Y5</f>
        <v>0.38359900293301408</v>
      </c>
      <c r="Z93" s="14"/>
      <c r="AA93" s="14"/>
      <c r="AB93" s="14">
        <f>AB48/AB5</f>
        <v>0.13433723081116405</v>
      </c>
      <c r="AC93" s="14"/>
      <c r="AD93" s="14"/>
      <c r="AE93" s="14">
        <f>AE48/AE5</f>
        <v>8.231131099455781E-2</v>
      </c>
      <c r="AF93" s="14"/>
      <c r="AG93" s="14"/>
      <c r="AH93" s="14">
        <f>AH48/AH5</f>
        <v>0.12458663332856199</v>
      </c>
      <c r="AI93" s="14"/>
      <c r="AJ93" s="14"/>
      <c r="AK93" s="14">
        <f>AK48/AK5</f>
        <v>0.2397422930433441</v>
      </c>
      <c r="AL93" s="14"/>
      <c r="AM93" s="14"/>
      <c r="AN93" s="14">
        <f>AN48/AN5</f>
        <v>6.3198187641590506E-2</v>
      </c>
      <c r="AO93" s="14"/>
      <c r="AP93" s="14"/>
      <c r="AQ93" s="14"/>
      <c r="AR93" s="14">
        <f>AR48/AR5</f>
        <v>0.62450912822290783</v>
      </c>
      <c r="AS93" s="14"/>
      <c r="AT93" s="14"/>
      <c r="AU93" s="14">
        <f>AU48/AU5</f>
        <v>0.34409752367647745</v>
      </c>
      <c r="AV93" s="14"/>
      <c r="AW93" s="14"/>
      <c r="AX93" s="14">
        <f>AX48/AX5</f>
        <v>0.16422815555433692</v>
      </c>
      <c r="AY93" s="14"/>
      <c r="AZ93" s="14"/>
      <c r="BA93" s="14">
        <f>BA48/BA5</f>
        <v>0.45110798695662091</v>
      </c>
      <c r="BB93" s="14"/>
      <c r="BC93" s="14"/>
      <c r="BD93" s="14"/>
      <c r="BE93" s="14">
        <f>BE48/BE5</f>
        <v>0.19577921953008678</v>
      </c>
      <c r="BF93" s="14"/>
      <c r="BG93" s="14"/>
      <c r="BH93" s="14">
        <f>BH48/BH5</f>
        <v>0.16955411985239505</v>
      </c>
      <c r="BI93" s="14"/>
      <c r="BJ93" s="14"/>
      <c r="BK93" s="14">
        <f>BK48/BK5</f>
        <v>0.17742221054555424</v>
      </c>
      <c r="BL93" s="14"/>
      <c r="BM93" s="14"/>
      <c r="BN93" s="14">
        <f>BN48/BN5</f>
        <v>0.1549278485501514</v>
      </c>
      <c r="BO93" s="14"/>
      <c r="BP93" s="14"/>
      <c r="BQ93" s="14">
        <f>BQ48/BQ5</f>
        <v>0.22427389951089374</v>
      </c>
      <c r="BR93" s="14"/>
      <c r="BS93" s="14"/>
      <c r="BT93" s="14">
        <f>BT48/BT5</f>
        <v>0.1732794502852632</v>
      </c>
      <c r="BU93" s="14"/>
      <c r="BV93" s="14"/>
      <c r="BW93" s="14">
        <f>BW48/BW5</f>
        <v>0.29937291383638182</v>
      </c>
      <c r="BX93" s="14"/>
      <c r="BY93" s="14"/>
      <c r="BZ93" s="14">
        <f>BZ48/BZ5</f>
        <v>0.21161090953282061</v>
      </c>
    </row>
    <row r="94" spans="1:78" x14ac:dyDescent="0.25">
      <c r="B94" s="1" t="s">
        <v>59</v>
      </c>
      <c r="D94" s="14">
        <f>D49/D5</f>
        <v>0.15108043178188491</v>
      </c>
      <c r="E94" s="14"/>
      <c r="F94" s="14"/>
      <c r="G94" s="14">
        <f>G49/G5</f>
        <v>0.21625619333755008</v>
      </c>
      <c r="I94" s="14"/>
      <c r="J94" s="14">
        <f>J49/J5</f>
        <v>0.30265297495121712</v>
      </c>
      <c r="K94" s="14"/>
      <c r="L94" s="14"/>
      <c r="M94" s="14">
        <f t="shared" ref="M94:P94" si="90">M49/M5</f>
        <v>0.54508394651361836</v>
      </c>
      <c r="N94" s="14"/>
      <c r="O94" s="14"/>
      <c r="P94" s="14">
        <f t="shared" si="90"/>
        <v>3.1804719627970428E-2</v>
      </c>
      <c r="S94" s="14">
        <f>S49/S5</f>
        <v>0.30558873166939454</v>
      </c>
      <c r="T94" s="14"/>
      <c r="U94" s="14"/>
      <c r="V94" s="14">
        <f>V49/V5</f>
        <v>0.23996045202104074</v>
      </c>
      <c r="W94" s="14"/>
      <c r="X94" s="14"/>
      <c r="Y94" s="14">
        <f>Y49/Y5</f>
        <v>0.37434976377730361</v>
      </c>
      <c r="Z94" s="14"/>
      <c r="AA94" s="14"/>
      <c r="AB94" s="14">
        <f>AB49/AB5</f>
        <v>0.11187061900478269</v>
      </c>
      <c r="AC94" s="14"/>
      <c r="AD94" s="14"/>
      <c r="AE94" s="14">
        <f>AE49/AE5</f>
        <v>6.5448145569404231E-2</v>
      </c>
      <c r="AF94" s="14"/>
      <c r="AG94" s="14"/>
      <c r="AH94" s="14">
        <f>AH49/AH5</f>
        <v>0.10670053881135824</v>
      </c>
      <c r="AI94" s="14"/>
      <c r="AJ94" s="14"/>
      <c r="AK94" s="14">
        <f>AK49/AK5</f>
        <v>0.20197532308327343</v>
      </c>
      <c r="AL94" s="14"/>
      <c r="AM94" s="14"/>
      <c r="AN94" s="14">
        <f>AN49/AN5</f>
        <v>6.2995258093162615E-2</v>
      </c>
      <c r="AO94" s="14"/>
      <c r="AP94" s="14"/>
      <c r="AQ94" s="14"/>
      <c r="AR94" s="14">
        <f t="shared" ref="AR94" si="91">AR49/AR5</f>
        <v>0.4229575376981603</v>
      </c>
      <c r="AS94" s="14"/>
      <c r="AT94" s="14"/>
      <c r="AU94" s="14">
        <f t="shared" ref="AU94:AX94" si="92">AU49/AU5</f>
        <v>0.10238741724131459</v>
      </c>
      <c r="AV94" s="14"/>
      <c r="AW94" s="14"/>
      <c r="AX94" s="14">
        <f t="shared" si="92"/>
        <v>0.16121825201427031</v>
      </c>
      <c r="BD94" s="36"/>
      <c r="BE94" s="14">
        <f>BE49/BE5</f>
        <v>0.12782634679087568</v>
      </c>
      <c r="BH94" s="14">
        <f>BH49/BH5</f>
        <v>4.575517855248111E-2</v>
      </c>
      <c r="BK94" s="14">
        <f>BK49/BK5</f>
        <v>0.15535901946449784</v>
      </c>
      <c r="BN94" s="14">
        <f>BN49/BN5</f>
        <v>0.13324831555688918</v>
      </c>
      <c r="BQ94" s="14">
        <f>BQ49/BQ5</f>
        <v>0.16337927967985771</v>
      </c>
      <c r="BT94" s="14">
        <f>BT49/BT5</f>
        <v>0.14277961175499659</v>
      </c>
      <c r="BW94" s="14">
        <f>BW49/BW5</f>
        <v>0.11289350331536946</v>
      </c>
      <c r="BZ94" s="14">
        <f>BZ49/BZ5</f>
        <v>4.9052967830419611E-2</v>
      </c>
    </row>
    <row r="95" spans="1:78" x14ac:dyDescent="0.25">
      <c r="B95" s="1" t="s">
        <v>65</v>
      </c>
      <c r="D95" s="14">
        <f>D49/D8</f>
        <v>0.23719445756339552</v>
      </c>
      <c r="E95" s="14"/>
      <c r="F95" s="14"/>
      <c r="G95" s="14">
        <f>G49/G8</f>
        <v>0.30545913096888871</v>
      </c>
      <c r="I95" s="14"/>
      <c r="J95" s="14">
        <f>J49/J8</f>
        <v>0.39267589173234313</v>
      </c>
      <c r="K95" s="14"/>
      <c r="L95" s="14"/>
      <c r="M95" s="14">
        <f t="shared" ref="M95" si="93">M49/M8</f>
        <v>1.1429612887878526</v>
      </c>
      <c r="N95" s="14"/>
      <c r="O95" s="14"/>
      <c r="P95" s="45" t="s">
        <v>123</v>
      </c>
      <c r="S95" s="14">
        <f>S49/S8</f>
        <v>0.74204942434536669</v>
      </c>
      <c r="T95" s="14"/>
      <c r="U95" s="14"/>
      <c r="V95" s="14">
        <f>V49/V8</f>
        <v>0.35113272875921647</v>
      </c>
      <c r="W95" s="14"/>
      <c r="X95" s="14"/>
      <c r="Y95" s="14">
        <f>Y49/Y8</f>
        <v>0.44534716711365019</v>
      </c>
      <c r="Z95" s="14"/>
      <c r="AA95" s="14"/>
      <c r="AB95" s="14">
        <f>AB49/AB8</f>
        <v>0.39899285675106644</v>
      </c>
      <c r="AC95" s="14"/>
      <c r="AD95" s="14"/>
      <c r="AE95" s="14">
        <f>AE49/AE8</f>
        <v>0.14032658689459912</v>
      </c>
      <c r="AF95" s="14"/>
      <c r="AG95" s="14"/>
      <c r="AH95" s="14">
        <f>AH49/AH8</f>
        <v>0.21288717895241005</v>
      </c>
      <c r="AI95" s="14"/>
      <c r="AJ95" s="14"/>
      <c r="AK95" s="14">
        <f>AK49/AK8</f>
        <v>0.36340071824013026</v>
      </c>
      <c r="AL95" s="14"/>
      <c r="AM95" s="14"/>
      <c r="AN95" s="45" t="s">
        <v>69</v>
      </c>
      <c r="AR95" s="14">
        <f>AR49/AR8</f>
        <v>0.71345215870458079</v>
      </c>
      <c r="AS95" s="14"/>
      <c r="AT95" s="14"/>
      <c r="AU95" s="14">
        <f t="shared" ref="AU95" si="94">AU49/AU8</f>
        <v>0.16949345313026329</v>
      </c>
      <c r="AX95" s="14">
        <f>AX49/AX8</f>
        <v>0.18987356458845839</v>
      </c>
      <c r="BD95" s="36"/>
      <c r="BE95" s="14">
        <f>BE49/BE8</f>
        <v>0.24975569175566167</v>
      </c>
      <c r="BH95" s="14">
        <f>BH49/BH8</f>
        <v>8.4557521882880973E-2</v>
      </c>
      <c r="BK95" s="14">
        <f>BK49/BK8</f>
        <v>0.28062166651192061</v>
      </c>
      <c r="BN95" s="14">
        <f>BN49/BN8</f>
        <v>0.23773254328438112</v>
      </c>
      <c r="BQ95" s="14">
        <f>BQ49/BQ8</f>
        <v>0.24768386199160905</v>
      </c>
      <c r="BT95" s="14">
        <f>BT49/BT8</f>
        <v>0.41225911728139247</v>
      </c>
      <c r="BW95" s="14">
        <f>BW49/BW8</f>
        <v>0.26181484340768252</v>
      </c>
      <c r="BZ95" s="14">
        <f>BZ49/BZ8</f>
        <v>0.12036849672506524</v>
      </c>
    </row>
    <row r="96" spans="1:78" x14ac:dyDescent="0.25">
      <c r="B96" s="1" t="s">
        <v>51</v>
      </c>
      <c r="C96" s="14"/>
      <c r="D96" s="14">
        <f>D7/D8</f>
        <v>0.64115567835720155</v>
      </c>
      <c r="E96" s="14"/>
      <c r="F96" s="14"/>
      <c r="G96" s="14">
        <f>G7/G8</f>
        <v>0.90038528472913737</v>
      </c>
      <c r="H96" s="14"/>
      <c r="I96" s="14"/>
      <c r="J96" s="14">
        <f>J7/J8</f>
        <v>0.74209506877916831</v>
      </c>
      <c r="K96" s="14"/>
      <c r="L96" s="14"/>
      <c r="M96" s="14">
        <f t="shared" ref="M96" si="95">M7/M8</f>
        <v>0.4989888732130463</v>
      </c>
      <c r="N96" s="14"/>
      <c r="O96" s="14"/>
      <c r="P96" s="45" t="s">
        <v>123</v>
      </c>
      <c r="Q96" s="14"/>
      <c r="R96" s="14"/>
      <c r="S96" s="14">
        <f>S7/S8</f>
        <v>1.5193001061347164</v>
      </c>
      <c r="T96" s="14"/>
      <c r="U96" s="14"/>
      <c r="V96" s="14">
        <f>V7/V8</f>
        <v>0.63532275140248884</v>
      </c>
      <c r="W96" s="14"/>
      <c r="X96" s="14"/>
      <c r="Y96" s="14">
        <f>Y7/Y8</f>
        <v>0.48591097561070395</v>
      </c>
      <c r="Z96" s="14"/>
      <c r="AA96" s="14"/>
      <c r="AB96" s="14">
        <f>AB7/AB8</f>
        <v>2.7708282877720913</v>
      </c>
      <c r="AC96" s="14"/>
      <c r="AD96" s="14"/>
      <c r="AE96" s="14">
        <f>AE7/AE8</f>
        <v>1.8347231522529917</v>
      </c>
      <c r="AF96" s="14"/>
      <c r="AG96" s="14"/>
      <c r="AH96" s="14">
        <f>AH7/AH8</f>
        <v>1.4420983764278898</v>
      </c>
      <c r="AI96" s="14"/>
      <c r="AJ96" s="14"/>
      <c r="AK96" s="14">
        <f>AK7/AK8</f>
        <v>1.0030825782619266</v>
      </c>
      <c r="AL96" s="14"/>
      <c r="AN96" s="45" t="s">
        <v>69</v>
      </c>
      <c r="AO96" s="14"/>
      <c r="AP96" s="14"/>
      <c r="AQ96" s="14"/>
      <c r="AR96" s="14">
        <f>AR7/AR8</f>
        <v>0.55734863521135058</v>
      </c>
      <c r="AS96" s="14"/>
      <c r="AT96" s="14"/>
      <c r="AU96" s="14">
        <f>AU7/AU8</f>
        <v>0.83282420390335554</v>
      </c>
      <c r="AV96" s="14"/>
      <c r="AW96" s="14"/>
      <c r="AX96" s="14">
        <f>AX7/AX8</f>
        <v>0.92423730597489717</v>
      </c>
      <c r="AY96" s="14"/>
      <c r="AZ96" s="14"/>
      <c r="BA96" s="14">
        <f>BA7/BA8</f>
        <v>0.67085656122533976</v>
      </c>
      <c r="BD96" s="36"/>
      <c r="BE96" s="14">
        <f>BE7/BE8</f>
        <v>1.3729947931022386</v>
      </c>
      <c r="BH96" s="14">
        <f>BH7/BH8</f>
        <v>1.2596804854268455</v>
      </c>
      <c r="BK96" s="14">
        <f>BK7/BK8</f>
        <v>1.1355523918582939</v>
      </c>
      <c r="BN96" s="14">
        <f>BN7/BN8</f>
        <v>1.2588302570903649</v>
      </c>
      <c r="BQ96" s="14">
        <f>BQ7/BQ8</f>
        <v>1.0584561956017644</v>
      </c>
      <c r="BT96" s="14">
        <f>BT7/BT8</f>
        <v>1.5619172192291753</v>
      </c>
      <c r="BW96" s="14">
        <f>BW7/BW8</f>
        <v>1.3921171782085255</v>
      </c>
      <c r="BZ96" s="14">
        <f>BZ7/BZ8</f>
        <v>0.79727355024229196</v>
      </c>
    </row>
    <row r="97" spans="2:78" x14ac:dyDescent="0.25">
      <c r="B97" s="1" t="s">
        <v>108</v>
      </c>
      <c r="D97" s="14">
        <f>D50/D5</f>
        <v>5.5652111092227674E-2</v>
      </c>
      <c r="E97" s="14"/>
      <c r="F97" s="14"/>
      <c r="G97" s="14">
        <f>G50/G5</f>
        <v>6.5131509593084544E-2</v>
      </c>
      <c r="H97" s="14"/>
      <c r="I97" s="14"/>
      <c r="J97" s="14">
        <f>J50/J5</f>
        <v>2.5432000348372539E-2</v>
      </c>
      <c r="K97" s="14"/>
      <c r="L97" s="14"/>
      <c r="M97" s="14">
        <f t="shared" ref="M97:P97" si="96">M50/M5</f>
        <v>5.4940109309029699E-2</v>
      </c>
      <c r="N97" s="14"/>
      <c r="O97" s="14"/>
      <c r="P97" s="14">
        <f t="shared" si="96"/>
        <v>0.39297040430329022</v>
      </c>
      <c r="Q97" s="14"/>
      <c r="R97" s="14"/>
      <c r="S97" s="80">
        <f>S50/S5</f>
        <v>5.6847723404395534E-2</v>
      </c>
      <c r="T97" s="14"/>
      <c r="U97" s="14"/>
      <c r="V97" s="80">
        <f>V50/V5</f>
        <v>9.3043314820965575E-2</v>
      </c>
      <c r="W97" s="14"/>
      <c r="X97" s="14"/>
      <c r="Y97" s="80">
        <f>Y50/Y5</f>
        <v>2.0164880210590423E-2</v>
      </c>
      <c r="Z97" s="14"/>
      <c r="AA97" s="14"/>
      <c r="AB97" s="14">
        <f>AB50/AB5</f>
        <v>7.896190080951257E-2</v>
      </c>
      <c r="AC97" s="14"/>
      <c r="AD97" s="14"/>
      <c r="AE97" s="14">
        <f>AE50/AE5</f>
        <v>0.15321052020275455</v>
      </c>
      <c r="AF97" s="14"/>
      <c r="AG97" s="14"/>
      <c r="AH97" s="14">
        <f>AH50/AH5</f>
        <v>0.19636528862455369</v>
      </c>
      <c r="AI97" s="14"/>
      <c r="AJ97" s="14"/>
      <c r="AK97" s="14">
        <f>AK50/AK5</f>
        <v>0.11023637927574624</v>
      </c>
      <c r="AL97" s="14"/>
      <c r="AM97" s="14"/>
      <c r="AN97" s="14">
        <f>AN50/AN5</f>
        <v>0.23896301204916642</v>
      </c>
      <c r="AO97" s="14"/>
      <c r="AP97" s="14"/>
      <c r="AQ97" s="14"/>
      <c r="AR97" s="14">
        <f>AR50/AR5</f>
        <v>0.26759996961686022</v>
      </c>
      <c r="AS97" s="14"/>
      <c r="AT97" s="14"/>
      <c r="AU97" s="14">
        <f>AU50/AU5</f>
        <v>0.26486655610422594</v>
      </c>
      <c r="AV97" s="14"/>
      <c r="AW97" s="14"/>
      <c r="AX97" s="14">
        <f>AX50/AX5</f>
        <v>2.1937296839713169E-2</v>
      </c>
      <c r="AY97" s="14"/>
      <c r="AZ97" s="14"/>
      <c r="BA97" s="14">
        <f>BA50/BA5</f>
        <v>1.1880360045767138E-2</v>
      </c>
      <c r="BB97" s="14"/>
      <c r="BC97" s="14"/>
      <c r="BD97" s="14"/>
      <c r="BE97" s="80">
        <f>(BE50-BE51)/BE5</f>
        <v>0.11530969104635908</v>
      </c>
      <c r="BH97" s="14">
        <f>(BH50-BH51)/BH5</f>
        <v>0.14239398262222799</v>
      </c>
      <c r="BK97" s="14">
        <f>(BK50-BK51)/BK5</f>
        <v>8.163323585853971E-2</v>
      </c>
      <c r="BN97" s="14">
        <f>(BN50-BN51)/BN5</f>
        <v>3.1854387735617447E-2</v>
      </c>
      <c r="BO97" s="14"/>
      <c r="BP97" s="14"/>
      <c r="BQ97" s="80">
        <f t="shared" ref="BQ97" si="97">(BQ50-BQ51)/BQ5</f>
        <v>4.7128501556247218E-2</v>
      </c>
      <c r="BR97" s="14"/>
      <c r="BS97" s="14"/>
      <c r="BT97" s="80">
        <f t="shared" ref="BT97" si="98">(BT50-BT51)/BT5</f>
        <v>8.7255104237683456E-2</v>
      </c>
      <c r="BU97" s="14"/>
      <c r="BV97" s="14"/>
      <c r="BW97" s="14">
        <f t="shared" ref="BW97" si="99">(BW50-BW51)/BW5</f>
        <v>0.22067674922851307</v>
      </c>
      <c r="BX97" s="14"/>
      <c r="BY97" s="14"/>
      <c r="BZ97" s="14">
        <f t="shared" ref="BZ97" si="100">(BZ50-BZ51)/BZ5</f>
        <v>5.4669189771010922E-2</v>
      </c>
    </row>
    <row r="100" spans="2:78" x14ac:dyDescent="0.25">
      <c r="B100" s="1" t="s">
        <v>99</v>
      </c>
      <c r="D100" s="14">
        <f t="shared" ref="D100:BD100" si="101">D31/D30</f>
        <v>0.88153281762203406</v>
      </c>
      <c r="E100" s="14"/>
      <c r="F100" s="14"/>
      <c r="G100" s="14">
        <f t="shared" si="101"/>
        <v>0.82582383642337265</v>
      </c>
      <c r="H100" s="14"/>
      <c r="I100" s="14"/>
      <c r="J100" s="14">
        <f t="shared" si="101"/>
        <v>0.93649899072913378</v>
      </c>
      <c r="K100" s="14"/>
      <c r="L100" s="14"/>
      <c r="M100" s="14">
        <f t="shared" si="101"/>
        <v>1.0900086764574535</v>
      </c>
      <c r="N100" s="14"/>
      <c r="O100" s="14"/>
      <c r="P100" s="14">
        <f t="shared" si="101"/>
        <v>0.92005643539682092</v>
      </c>
      <c r="Q100" s="14"/>
      <c r="R100" s="14"/>
      <c r="S100" s="14">
        <f t="shared" si="101"/>
        <v>0.97816209579175495</v>
      </c>
      <c r="T100" s="14"/>
      <c r="U100" s="14"/>
      <c r="V100" s="14">
        <f t="shared" si="101"/>
        <v>1.0095466301536589</v>
      </c>
      <c r="W100" s="14"/>
      <c r="X100" s="14"/>
      <c r="Y100" s="14">
        <f t="shared" si="101"/>
        <v>0.98050168678564942</v>
      </c>
      <c r="Z100" s="14"/>
      <c r="AA100" s="14"/>
      <c r="AB100" s="14">
        <f t="shared" si="101"/>
        <v>1.0240251495145718</v>
      </c>
      <c r="AC100" s="14"/>
      <c r="AD100" s="14"/>
      <c r="AE100" s="14" t="e">
        <f t="shared" si="101"/>
        <v>#VALUE!</v>
      </c>
      <c r="AF100" s="14"/>
      <c r="AG100" s="14"/>
      <c r="AH100" s="14">
        <f t="shared" si="101"/>
        <v>0.94472633146620966</v>
      </c>
      <c r="AI100" s="14"/>
      <c r="AJ100" s="14"/>
      <c r="AK100" s="14">
        <f t="shared" si="101"/>
        <v>0.97922113711913739</v>
      </c>
      <c r="AL100" s="14"/>
      <c r="AM100" s="14"/>
      <c r="AN100" s="14" t="e">
        <f t="shared" si="101"/>
        <v>#VALUE!</v>
      </c>
      <c r="AO100" s="14"/>
      <c r="AP100" s="14"/>
      <c r="AQ100" s="14"/>
      <c r="AR100" s="14">
        <f t="shared" si="101"/>
        <v>1.0173490027767105</v>
      </c>
      <c r="AS100" s="14"/>
      <c r="AT100" s="14"/>
      <c r="AU100" s="14">
        <f t="shared" si="101"/>
        <v>0.98910242046603869</v>
      </c>
      <c r="AV100" s="14"/>
      <c r="AW100" s="14"/>
      <c r="AX100" s="14">
        <f t="shared" si="101"/>
        <v>1.0131294088197813</v>
      </c>
      <c r="AY100" s="14"/>
      <c r="AZ100" s="14"/>
      <c r="BA100" s="14">
        <f t="shared" si="101"/>
        <v>0.99690662742326497</v>
      </c>
      <c r="BB100" s="14"/>
      <c r="BC100" s="14"/>
      <c r="BD100" s="14">
        <f t="shared" si="101"/>
        <v>0.93013642842598254</v>
      </c>
      <c r="BE100" s="14">
        <f>BE31/BE30</f>
        <v>1.1072068165966029</v>
      </c>
      <c r="BF100" s="14"/>
      <c r="BG100" s="14"/>
      <c r="BH100" s="14">
        <f>BH31/BH30</f>
        <v>1.0389663324366185</v>
      </c>
      <c r="BI100" s="14"/>
      <c r="BJ100" s="14"/>
      <c r="BK100" s="14">
        <f>BK31/BK30</f>
        <v>1.0324692327834513</v>
      </c>
      <c r="BL100" s="14"/>
      <c r="BM100" s="14"/>
      <c r="BN100" s="14">
        <f>BN31/BN30</f>
        <v>1.0030384875084402</v>
      </c>
      <c r="BO100" s="14"/>
      <c r="BP100" s="14"/>
      <c r="BQ100" s="14">
        <f>BQ31/BQ30</f>
        <v>1.0074239756341312</v>
      </c>
      <c r="BR100" s="14"/>
      <c r="BS100" s="14"/>
      <c r="BT100" s="80">
        <f>BT31/BT30</f>
        <v>0.99829265208043505</v>
      </c>
      <c r="BU100" s="14"/>
      <c r="BV100" s="14"/>
      <c r="BW100" s="80">
        <f>BW31/BW30</f>
        <v>0</v>
      </c>
      <c r="BX100" s="14"/>
      <c r="BY100" s="14"/>
      <c r="BZ100" s="80">
        <f>BZ31/BZ30</f>
        <v>0.93797939951786102</v>
      </c>
    </row>
  </sheetData>
  <mergeCells count="25">
    <mergeCell ref="AQ2:AR2"/>
    <mergeCell ref="AT2:AU2"/>
    <mergeCell ref="AW2:AX2"/>
    <mergeCell ref="AZ2:BA2"/>
    <mergeCell ref="AM2:AN2"/>
    <mergeCell ref="BY2:BZ2"/>
    <mergeCell ref="BP2:BQ2"/>
    <mergeCell ref="BM2:BN2"/>
    <mergeCell ref="BD2:BE2"/>
    <mergeCell ref="BJ2:BK2"/>
    <mergeCell ref="BS2:BT2"/>
    <mergeCell ref="BG2:BH2"/>
    <mergeCell ref="BV2:BW2"/>
    <mergeCell ref="AJ2:AK2"/>
    <mergeCell ref="AG2:AH2"/>
    <mergeCell ref="AA2:AB2"/>
    <mergeCell ref="AD2:AE2"/>
    <mergeCell ref="C2:D2"/>
    <mergeCell ref="F2:G2"/>
    <mergeCell ref="I2:J2"/>
    <mergeCell ref="L2:M2"/>
    <mergeCell ref="O2:P2"/>
    <mergeCell ref="R2:S2"/>
    <mergeCell ref="U2:V2"/>
    <mergeCell ref="X2:Y2"/>
  </mergeCells>
  <pageMargins left="0.7" right="0.7" top="0.75" bottom="0.75" header="0.3" footer="0.3"/>
  <pageSetup orientation="portrait" horizontalDpi="90" verticalDpi="9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1d45786f-a737-4735-8af6-df12fb6939a2" origin="userSelected"/>
</file>

<file path=customXml/itemProps1.xml><?xml version="1.0" encoding="utf-8"?>
<ds:datastoreItem xmlns:ds="http://schemas.openxmlformats.org/officeDocument/2006/customXml" ds:itemID="{68DCEC28-557E-4012-849A-7E76B73D856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macro</vt:lpstr>
      <vt:lpstr>charts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Gelin, Anton</dc:creator>
  <cp:keywords>[EBRD]</cp:keywords>
  <cp:lastModifiedBy>gelina</cp:lastModifiedBy>
  <dcterms:created xsi:type="dcterms:W3CDTF">2015-06-05T18:17:20Z</dcterms:created>
  <dcterms:modified xsi:type="dcterms:W3CDTF">2020-01-27T12:54:04Z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964e658f-41df-44ff-8668-522288f89fc0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c6zVjf1nm/0q174aSQuVZC0Ze1B9xXG1</vt:lpwstr>
  </property>
  <property fmtid="{D5CDD505-2E9C-101B-9397-08002B2CF9AE}" pid="5" name="{A44787D4-0540-4523-9961-78E4036D8C6D}">
    <vt:lpwstr>{49D4F605-86B3-4AE8-A4BC-47ADB0FA4EB6}</vt:lpwstr>
  </property>
</Properties>
</file>