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актив" sheetId="1" r:id="rId1"/>
    <sheet name="пассив" sheetId="2" r:id="rId2"/>
    <sheet name="отчет о финансовых результатах" sheetId="3" r:id="rId3"/>
  </sheets>
  <calcPr calcId="125725"/>
</workbook>
</file>

<file path=xl/calcChain.xml><?xml version="1.0" encoding="utf-8"?>
<calcChain xmlns="http://schemas.openxmlformats.org/spreadsheetml/2006/main">
  <c r="C73" i="2"/>
  <c r="B73"/>
  <c r="C72"/>
  <c r="B72"/>
  <c r="B67"/>
  <c r="C71"/>
  <c r="B71"/>
  <c r="C70"/>
  <c r="B70"/>
  <c r="C69"/>
  <c r="B69"/>
  <c r="C68"/>
  <c r="B68"/>
  <c r="C67"/>
  <c r="C66"/>
  <c r="B66"/>
  <c r="C65"/>
  <c r="B65"/>
  <c r="C64"/>
  <c r="B64"/>
  <c r="B56"/>
  <c r="C56"/>
  <c r="D56"/>
  <c r="C57"/>
  <c r="D57"/>
  <c r="B57"/>
  <c r="C55"/>
  <c r="D55"/>
  <c r="B55"/>
  <c r="C54"/>
  <c r="D54"/>
  <c r="B54"/>
  <c r="C53"/>
  <c r="D53"/>
  <c r="B53"/>
  <c r="C52"/>
  <c r="D52"/>
  <c r="B52"/>
  <c r="C51"/>
  <c r="F51" s="1"/>
  <c r="H51" s="1"/>
  <c r="D51"/>
  <c r="B51"/>
  <c r="C50"/>
  <c r="D50"/>
  <c r="B50"/>
  <c r="B49"/>
  <c r="C49"/>
  <c r="D49"/>
  <c r="C48"/>
  <c r="D48"/>
  <c r="B48"/>
  <c r="C47"/>
  <c r="D47"/>
  <c r="F47" s="1"/>
  <c r="H47" s="1"/>
  <c r="B47"/>
  <c r="B35"/>
  <c r="C35"/>
  <c r="B34"/>
  <c r="B33"/>
  <c r="C32"/>
  <c r="B32"/>
  <c r="C36"/>
  <c r="B36"/>
  <c r="C34"/>
  <c r="C33"/>
  <c r="C39" i="1"/>
  <c r="D39"/>
  <c r="C40"/>
  <c r="D40"/>
  <c r="C41"/>
  <c r="D41"/>
  <c r="C42"/>
  <c r="D42"/>
  <c r="B42"/>
  <c r="B41"/>
  <c r="B40"/>
  <c r="E40" s="1"/>
  <c r="G40" s="1"/>
  <c r="B39"/>
  <c r="O11" i="2"/>
  <c r="L11"/>
  <c r="L10"/>
  <c r="L25"/>
  <c r="L24"/>
  <c r="L23"/>
  <c r="L22"/>
  <c r="L21"/>
  <c r="L20"/>
  <c r="L19"/>
  <c r="L18"/>
  <c r="L16"/>
  <c r="L14"/>
  <c r="L6"/>
  <c r="L5"/>
  <c r="L8"/>
  <c r="K10"/>
  <c r="J10"/>
  <c r="K28"/>
  <c r="J28"/>
  <c r="K27"/>
  <c r="J27"/>
  <c r="O14" s="1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O13" s="1"/>
  <c r="K14"/>
  <c r="J14"/>
  <c r="K9"/>
  <c r="J9"/>
  <c r="O12" s="1"/>
  <c r="K8"/>
  <c r="J8"/>
  <c r="K6"/>
  <c r="J6"/>
  <c r="K5"/>
  <c r="J5"/>
  <c r="K2"/>
  <c r="J2"/>
  <c r="P16" i="1"/>
  <c r="P15"/>
  <c r="P14"/>
  <c r="O16"/>
  <c r="O15"/>
  <c r="K15"/>
  <c r="J15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19"/>
  <c r="J19"/>
  <c r="K18"/>
  <c r="J18"/>
  <c r="K17"/>
  <c r="J17"/>
  <c r="K14"/>
  <c r="J14"/>
  <c r="K13"/>
  <c r="J13"/>
  <c r="K12"/>
  <c r="J12"/>
  <c r="K11"/>
  <c r="J11"/>
  <c r="K10"/>
  <c r="J10"/>
  <c r="K8"/>
  <c r="J8"/>
  <c r="K2"/>
  <c r="J2"/>
  <c r="L29"/>
  <c r="L28"/>
  <c r="L27"/>
  <c r="L26"/>
  <c r="L25"/>
  <c r="L24"/>
  <c r="L23"/>
  <c r="L21"/>
  <c r="L20"/>
  <c r="L19"/>
  <c r="L18"/>
  <c r="L17"/>
  <c r="L13"/>
  <c r="L12"/>
  <c r="L11"/>
  <c r="L10"/>
  <c r="L8"/>
  <c r="L4"/>
  <c r="L3"/>
  <c r="L2"/>
  <c r="L17" i="2"/>
  <c r="L27"/>
  <c r="L15"/>
  <c r="L9"/>
  <c r="L2"/>
  <c r="P4"/>
  <c r="Q4"/>
  <c r="O4"/>
  <c r="P3"/>
  <c r="Q3"/>
  <c r="O3"/>
  <c r="P1"/>
  <c r="Q1"/>
  <c r="O1"/>
  <c r="P2"/>
  <c r="Q2"/>
  <c r="O2"/>
  <c r="I15" i="1"/>
  <c r="H15"/>
  <c r="L31"/>
  <c r="L30"/>
  <c r="L22"/>
  <c r="L15"/>
  <c r="L14"/>
  <c r="N14"/>
  <c r="N16"/>
  <c r="N31"/>
  <c r="N30"/>
  <c r="N22"/>
  <c r="M30"/>
  <c r="M22"/>
  <c r="M16"/>
  <c r="M31"/>
  <c r="M14"/>
  <c r="G28" i="2"/>
  <c r="I28" s="1"/>
  <c r="F28"/>
  <c r="H28" s="1"/>
  <c r="G27"/>
  <c r="I27" s="1"/>
  <c r="F27"/>
  <c r="H27" s="1"/>
  <c r="G25"/>
  <c r="I25" s="1"/>
  <c r="F25"/>
  <c r="H25" s="1"/>
  <c r="G24"/>
  <c r="I24" s="1"/>
  <c r="F24"/>
  <c r="H24" s="1"/>
  <c r="G23"/>
  <c r="I23" s="1"/>
  <c r="F23"/>
  <c r="H23" s="1"/>
  <c r="G22"/>
  <c r="I22" s="1"/>
  <c r="F22"/>
  <c r="H22" s="1"/>
  <c r="G21"/>
  <c r="I21" s="1"/>
  <c r="F21"/>
  <c r="H21" s="1"/>
  <c r="G20"/>
  <c r="I20" s="1"/>
  <c r="F20"/>
  <c r="H20" s="1"/>
  <c r="G19"/>
  <c r="I19" s="1"/>
  <c r="F19"/>
  <c r="H19" s="1"/>
  <c r="G18"/>
  <c r="I18" s="1"/>
  <c r="F18"/>
  <c r="H18" s="1"/>
  <c r="G17"/>
  <c r="I17" s="1"/>
  <c r="F17"/>
  <c r="H17" s="1"/>
  <c r="G16"/>
  <c r="I16" s="1"/>
  <c r="F16"/>
  <c r="H16" s="1"/>
  <c r="G15"/>
  <c r="I15" s="1"/>
  <c r="F15"/>
  <c r="H15" s="1"/>
  <c r="G14"/>
  <c r="I14" s="1"/>
  <c r="F14"/>
  <c r="H14" s="1"/>
  <c r="G10"/>
  <c r="I10" s="1"/>
  <c r="F10"/>
  <c r="H10" s="1"/>
  <c r="G9"/>
  <c r="I9" s="1"/>
  <c r="F9"/>
  <c r="H9" s="1"/>
  <c r="G8"/>
  <c r="I8" s="1"/>
  <c r="F8"/>
  <c r="H8" s="1"/>
  <c r="G6"/>
  <c r="I6" s="1"/>
  <c r="F6"/>
  <c r="H6" s="1"/>
  <c r="G5"/>
  <c r="I5" s="1"/>
  <c r="F5"/>
  <c r="H5" s="1"/>
  <c r="G2"/>
  <c r="I2" s="1"/>
  <c r="F2"/>
  <c r="H2" s="1"/>
  <c r="Q4" i="1"/>
  <c r="R4"/>
  <c r="P4"/>
  <c r="Q3"/>
  <c r="R3"/>
  <c r="P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19"/>
  <c r="H19"/>
  <c r="I18"/>
  <c r="H18"/>
  <c r="I17"/>
  <c r="H17"/>
  <c r="I14"/>
  <c r="H14"/>
  <c r="I13"/>
  <c r="H13"/>
  <c r="I12"/>
  <c r="H12"/>
  <c r="I11"/>
  <c r="H11"/>
  <c r="I10"/>
  <c r="H10"/>
  <c r="I8"/>
  <c r="H8"/>
  <c r="I2"/>
  <c r="H2"/>
  <c r="G27"/>
  <c r="F24"/>
  <c r="G24"/>
  <c r="F25"/>
  <c r="G25"/>
  <c r="F26"/>
  <c r="G26"/>
  <c r="F27"/>
  <c r="F28"/>
  <c r="G28"/>
  <c r="F29"/>
  <c r="G29"/>
  <c r="F30"/>
  <c r="G30"/>
  <c r="F31"/>
  <c r="G31"/>
  <c r="F32"/>
  <c r="G32"/>
  <c r="F19"/>
  <c r="G19"/>
  <c r="F21"/>
  <c r="G21"/>
  <c r="F22"/>
  <c r="G22"/>
  <c r="F23"/>
  <c r="G23"/>
  <c r="F18"/>
  <c r="G18"/>
  <c r="G15"/>
  <c r="F15"/>
  <c r="F17"/>
  <c r="G17"/>
  <c r="F11"/>
  <c r="G11"/>
  <c r="F12"/>
  <c r="G12"/>
  <c r="F13"/>
  <c r="G13"/>
  <c r="F14"/>
  <c r="G14"/>
  <c r="G10"/>
  <c r="F10"/>
  <c r="G8"/>
  <c r="F8"/>
  <c r="G2"/>
  <c r="F2"/>
  <c r="O3"/>
  <c r="O4"/>
  <c r="Q2"/>
  <c r="R2"/>
  <c r="P2"/>
  <c r="D73" i="2" l="1"/>
  <c r="E73" s="1"/>
  <c r="D64"/>
  <c r="E64" s="1"/>
  <c r="E57"/>
  <c r="G57" s="1"/>
  <c r="F57"/>
  <c r="H57" s="1"/>
  <c r="D72"/>
  <c r="E72" s="1"/>
  <c r="D67"/>
  <c r="E67" s="1"/>
  <c r="D71"/>
  <c r="E71" s="1"/>
  <c r="D70"/>
  <c r="E70" s="1"/>
  <c r="F53"/>
  <c r="H53" s="1"/>
  <c r="E56"/>
  <c r="G56" s="1"/>
  <c r="D69"/>
  <c r="E69" s="1"/>
  <c r="D68"/>
  <c r="E68" s="1"/>
  <c r="D66"/>
  <c r="E66" s="1"/>
  <c r="D65"/>
  <c r="E65" s="1"/>
  <c r="F49"/>
  <c r="H49" s="1"/>
  <c r="F54"/>
  <c r="H54" s="1"/>
  <c r="E47"/>
  <c r="G47" s="1"/>
  <c r="E48"/>
  <c r="G48" s="1"/>
  <c r="F52"/>
  <c r="H52" s="1"/>
  <c r="E54"/>
  <c r="G54" s="1"/>
  <c r="E39" i="1"/>
  <c r="G39" s="1"/>
  <c r="E49" i="2"/>
  <c r="G49" s="1"/>
  <c r="F56"/>
  <c r="H56" s="1"/>
  <c r="E50"/>
  <c r="G50" s="1"/>
  <c r="E52"/>
  <c r="G52" s="1"/>
  <c r="F55"/>
  <c r="H55" s="1"/>
  <c r="E55"/>
  <c r="G55" s="1"/>
  <c r="E53"/>
  <c r="G53" s="1"/>
  <c r="E51"/>
  <c r="G51" s="1"/>
  <c r="F50"/>
  <c r="H50" s="1"/>
  <c r="F48"/>
  <c r="H48" s="1"/>
  <c r="C37"/>
  <c r="B37"/>
  <c r="E41" i="1"/>
  <c r="G41" s="1"/>
  <c r="F42"/>
  <c r="H42" s="1"/>
  <c r="F40"/>
  <c r="H40" s="1"/>
  <c r="E42"/>
  <c r="G42" s="1"/>
  <c r="F41"/>
  <c r="H41" s="1"/>
  <c r="F39"/>
  <c r="H39" s="1"/>
</calcChain>
</file>

<file path=xl/sharedStrings.xml><?xml version="1.0" encoding="utf-8"?>
<sst xmlns="http://schemas.openxmlformats.org/spreadsheetml/2006/main" count="185" uniqueCount="147">
  <si>
    <t>Наименование показателя</t>
  </si>
  <si>
    <t>Код</t>
  </si>
  <si>
    <t>На 31 декабря 2017 г.</t>
  </si>
  <si>
    <t>На 31 декабря 2016 г.</t>
  </si>
  <si>
    <t>На 31 декабря 2015 г.</t>
  </si>
  <si>
    <t>АКТИВ</t>
  </si>
  <si>
    <t>1. ВНЕОБОРОТНЫЕ АКТИВЫ</t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</si>
  <si>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</si>
  <si>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</si>
  <si>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</si>
  <si>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</si>
  <si>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</si>
  <si>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</si>
  <si>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</si>
  <si>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</si>
  <si>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</si>
  <si>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в т.ч. незавершенное строительство</t>
  </si>
  <si>
    <t>Итого по разделу</t>
  </si>
  <si>
    <t>И. ОБОРОТНЫЕ АКТИВЫ</t>
  </si>
  <si>
    <t>Запасы, в том числе:</t>
  </si>
  <si>
    <t>Налог на добавленную стоимость по п иоб етенным ценностям</t>
  </si>
  <si>
    <t>Дебиторская задолженность, в том числе:</t>
  </si>
  <si>
    <t>Дебиторская задолженность (платежи по которой ожидаются более чем через 12 месяцев после отчетной аты</t>
  </si>
  <si>
    <t>Дебиторская задолженность (платежи по которой ожидаются в течение 12 месяцев после отчетной даты</t>
  </si>
  <si>
    <t>в том числе расчеты с покупателями и заказчиками</t>
  </si>
  <si>
    <t>Авансы выданные</t>
  </si>
  <si>
    <t>Финансовые вложения (за исключением денежных эквивалентов</t>
  </si>
  <si>
    <t>Прочие оборотные активы</t>
  </si>
  <si>
    <t>Итого по разделу П</t>
  </si>
  <si>
    <t>БАЛАНС</t>
  </si>
  <si>
    <t>ПАССИВ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</si>
  <si>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</si>
  <si>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</si>
  <si>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</si>
  <si>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Нераспределенная прибыль (непокрытый убыток)</t>
  </si>
  <si>
    <t>Итого по разделу Ш</t>
  </si>
  <si>
    <t>Заемные средства</t>
  </si>
  <si>
    <t>Отложенные налоговые обязательства</t>
  </si>
  <si>
    <t>Оценочные обязательства</t>
  </si>
  <si>
    <t>Прочие обязательства</t>
  </si>
  <si>
    <t>Итого по разделу lV</t>
  </si>
  <si>
    <t>V. КРАТКОСРОЧНЫЕ ОБЯЗАТЕЛЬСТВА Заемные средства</t>
  </si>
  <si>
    <t>Кредиторская задолженность, в том числе</t>
  </si>
  <si>
    <t>Расчеты с поставщиками и под ядчиками</t>
  </si>
  <si>
    <t>Расчеты с персоналом по оплате т да</t>
  </si>
  <si>
    <t>Расчеты по налогам и сбо ам</t>
  </si>
  <si>
    <t>Расчеты по социальному страхованию и обеспечению</t>
  </si>
  <si>
    <t>Расчеты с разными дебиторами и к едито ами</t>
  </si>
  <si>
    <t>доходы будущих периодов</t>
  </si>
  <si>
    <t>За Январь - Декабрь</t>
  </si>
  <si>
    <t>2017 г.</t>
  </si>
  <si>
    <t>2016 г.</t>
  </si>
  <si>
    <t>Выручка</t>
  </si>
  <si>
    <t>в том числе: тепловой энергии</t>
  </si>
  <si>
    <t>л очих сл г</t>
  </si>
  <si>
    <t>Себестоимость продаж</t>
  </si>
  <si>
    <t>п очих сл г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</si>
  <si>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</si>
  <si>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</si>
  <si>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</si>
  <si>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</si>
  <si>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</si>
  <si>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</si>
  <si>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</si>
  <si>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</si>
  <si>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</si>
  <si>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</si>
  <si>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</si>
  <si>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</t>
  </si>
  <si>
    <t>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</si>
  <si>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</si>
  <si>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</si>
  <si>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</si>
  <si>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</si>
  <si>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Прочие дебиторы</t>
  </si>
  <si>
    <t>Расходы будущих периодов</t>
  </si>
  <si>
    <t>Готовая продукция</t>
  </si>
  <si>
    <t>Абсолютное отклонение за 2016-2017 г.</t>
  </si>
  <si>
    <t>Абсолютное отклонение за 2015-2016 г.</t>
  </si>
  <si>
    <t>Относительное отклонение, % за 2016-2017 г.</t>
  </si>
  <si>
    <t>Авансы полученные</t>
  </si>
  <si>
    <t>Затраты в незавершенном производстве</t>
  </si>
  <si>
    <t>III. КАПИТАЛ И РЕЗЕРВЫ
Уставный капитал (складочный капитал, уставный фонд, вклады товарищей)</t>
  </si>
  <si>
    <t>уд. вес. %</t>
  </si>
  <si>
    <t>Относительное отклонение, % за 2015-2016 г.</t>
  </si>
  <si>
    <t>уд. вес. % 2016 г.</t>
  </si>
  <si>
    <t xml:space="preserve">уд. вес. % </t>
  </si>
  <si>
    <t>IV. ДОЛГОСРОЧНЫЕ ОБЯЗАТЕЛЬСТВА</t>
  </si>
  <si>
    <t>КАПИТАЛ И РЕЗЕРВЫ</t>
  </si>
  <si>
    <t>ДОЛГОСРОЧНЫЕ ОБЯЗАТЕЛЬСТВА</t>
  </si>
  <si>
    <t>КРАТКОСРОЧНЫЕ ОБЯЗАТЕЛЬСТВА</t>
  </si>
  <si>
    <t>Резервный капитал</t>
  </si>
  <si>
    <t>уд. вес. % , % за 2015-2016 г.</t>
  </si>
  <si>
    <t>уд. вес. %,  за 2016-2017 г.</t>
  </si>
  <si>
    <t>Сырье, материалы</t>
  </si>
  <si>
    <t>Показатели</t>
  </si>
  <si>
    <t>Z =</t>
  </si>
  <si>
    <t>Динамика показателей деловой активности</t>
  </si>
  <si>
    <t>Абсолютное отклонение, +,-</t>
  </si>
  <si>
    <t>Относительное отклонение, %</t>
  </si>
  <si>
    <t>Оборачиваемость активов, коэффициент трансформации, (обороты)</t>
  </si>
  <si>
    <t>Фондоотдача</t>
  </si>
  <si>
    <t>Коэффициент оборачиваемости оборотных средств (обороты)</t>
  </si>
  <si>
    <t>Период одного оборота оборотных средств (дней)</t>
  </si>
  <si>
    <t>Коэффициент оборачиваемости запасов (обороты)</t>
  </si>
  <si>
    <t>Период одного оборота запасов (дней)</t>
  </si>
  <si>
    <t>Коэффициент оборачиваемости дебиторской задолженности (обороты)</t>
  </si>
  <si>
    <t>Период погашения дебиторской задолженности (дней)</t>
  </si>
  <si>
    <t>Период погашения кредиторской задолженности (дней)</t>
  </si>
  <si>
    <t>Коэффициент оборачиваемости собственного капитала (обороты)</t>
  </si>
  <si>
    <t>Собственные оборотные средства</t>
  </si>
  <si>
    <t>Коэффициент обеспечения оборотных активов собственными средствами</t>
  </si>
  <si>
    <t>Маневренность собственных оборотных средств</t>
  </si>
  <si>
    <t>Коэффициент обеспечения собственными оборотными средствами запасов</t>
  </si>
  <si>
    <t>Коэффициент покрытия запасов</t>
  </si>
  <si>
    <t>Коэффициент финансовой независимости (автономии)</t>
  </si>
  <si>
    <t>Коэффициент финансовой зависимости</t>
  </si>
  <si>
    <t>Коэффициент маневренности собственного капитала</t>
  </si>
  <si>
    <t>Коэффициент концентрации заемного капитала</t>
  </si>
  <si>
    <t>Коэффициент финансовой стабильности (коэффициент финансирования)</t>
  </si>
  <si>
    <t>Коэффициент финансовой устойчивости</t>
  </si>
  <si>
    <t>Коэффициент текущей ликвидности</t>
  </si>
  <si>
    <t>Коэффициент быстрой ликвидности</t>
  </si>
  <si>
    <t>Коэффициент абсолютной ликвидности</t>
  </si>
  <si>
    <t>Соотношение краткосрочной дебиторской и кредиторской задолженности</t>
  </si>
  <si>
    <t>денежные средства и денежные эквиваленты</t>
  </si>
  <si>
    <t>2017- 2016</t>
  </si>
  <si>
    <t>2016 -2015</t>
  </si>
  <si>
    <t>Оборотный капитал к сумме активов предприятия</t>
  </si>
  <si>
    <t>(Working Capital) / Total Assets </t>
  </si>
  <si>
    <t>Retained Earnings / Total Assets </t>
  </si>
  <si>
    <t>EBIT / Total Assets </t>
  </si>
  <si>
    <t>Market value of Equity/ Book value of Total Liabilities</t>
  </si>
  <si>
    <t>Sales/Total Assets</t>
  </si>
  <si>
    <t>X1</t>
  </si>
  <si>
    <t>X2</t>
  </si>
  <si>
    <t>X3</t>
  </si>
  <si>
    <t>X4</t>
  </si>
  <si>
    <t>X5</t>
  </si>
  <si>
    <t>Не распределенная прибыль к сумме активов предприятия</t>
  </si>
  <si>
    <t>Отношение прибыли до налогообложения к общей стоимости активов</t>
  </si>
  <si>
    <t>Отношение рыночной стоимости собственного капитала / бухгалтерская (балансовая) стоимость всех обязательств</t>
  </si>
  <si>
    <t>Отношение объема продаж к общей величине активов предприятия, характеризует рентабельность активов предприятия</t>
  </si>
  <si>
    <r>
      <t>Z= 1.2*X</t>
    </r>
    <r>
      <rPr>
        <b/>
        <vertAlign val="sub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> + 1.4*X</t>
    </r>
    <r>
      <rPr>
        <b/>
        <vertAlign val="sub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> + 3.3*X</t>
    </r>
    <r>
      <rPr>
        <b/>
        <vertAlign val="subscript"/>
        <sz val="10"/>
        <rFont val="Times New Roman"/>
        <family val="1"/>
        <charset val="204"/>
      </rPr>
      <t>3</t>
    </r>
    <r>
      <rPr>
        <b/>
        <sz val="10"/>
        <rFont val="Times New Roman"/>
        <family val="1"/>
        <charset val="204"/>
      </rPr>
      <t> + 0.6*X</t>
    </r>
    <r>
      <rPr>
        <b/>
        <vertAlign val="subscript"/>
        <sz val="10"/>
        <rFont val="Times New Roman"/>
        <family val="1"/>
        <charset val="204"/>
      </rPr>
      <t>4</t>
    </r>
    <r>
      <rPr>
        <b/>
        <sz val="10"/>
        <rFont val="Times New Roman"/>
        <family val="1"/>
        <charset val="204"/>
      </rPr>
      <t> + X</t>
    </r>
    <r>
      <rPr>
        <b/>
        <vertAlign val="subscript"/>
        <sz val="10"/>
        <rFont val="Times New Roman"/>
        <family val="1"/>
        <charset val="204"/>
      </rPr>
      <t>5</t>
    </r>
  </si>
  <si>
    <t> Динамика показателей финансовой устойчивости:</t>
  </si>
  <si>
    <t>Пятифакторная модель Альтмана:</t>
  </si>
  <si>
    <t>Динамика показателей ликвидности: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</si>
</sst>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  <numFmt numFmtId="166" formatCode="_-* #,##0.000\ _₽_-;\-* #,##0.0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rgb="FF444455"/>
      <name val="Arial"/>
      <family val="2"/>
      <charset val="204"/>
    </font>
    <font>
      <sz val="11"/>
      <color rgb="FF000000"/>
      <name val="Open Sans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color rgb="FF21203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 indent="1"/>
    </xf>
    <xf numFmtId="0" fontId="3" fillId="0" borderId="8" xfId="0" applyFont="1" applyBorder="1" applyAlignment="1">
      <alignment horizontal="justify" wrapText="1"/>
    </xf>
    <xf numFmtId="0" fontId="3" fillId="0" borderId="6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left" vertical="top" wrapText="1" indent="10"/>
    </xf>
    <xf numFmtId="0" fontId="2" fillId="0" borderId="9" xfId="0" applyFont="1" applyBorder="1" applyAlignment="1">
      <alignment vertical="top" wrapText="1"/>
    </xf>
    <xf numFmtId="3" fontId="3" fillId="0" borderId="5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 indent="1"/>
    </xf>
    <xf numFmtId="3" fontId="3" fillId="0" borderId="5" xfId="0" applyNumberFormat="1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3" fontId="3" fillId="0" borderId="12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9" fillId="0" borderId="17" xfId="0" applyFont="1" applyFill="1" applyBorder="1" applyAlignment="1">
      <alignment horizontal="justify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65" fontId="10" fillId="0" borderId="2" xfId="1" applyNumberFormat="1" applyFont="1" applyBorder="1" applyAlignment="1">
      <alignment horizontal="justify" vertical="top" wrapText="1"/>
    </xf>
    <xf numFmtId="165" fontId="10" fillId="0" borderId="13" xfId="1" applyNumberFormat="1" applyFont="1" applyBorder="1" applyAlignment="1">
      <alignment horizontal="justify" vertical="top" wrapText="1"/>
    </xf>
    <xf numFmtId="3" fontId="8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/>
    <xf numFmtId="3" fontId="10" fillId="0" borderId="0" xfId="0" applyNumberFormat="1" applyFont="1"/>
    <xf numFmtId="10" fontId="10" fillId="0" borderId="0" xfId="0" applyNumberFormat="1" applyFont="1"/>
    <xf numFmtId="43" fontId="10" fillId="0" borderId="0" xfId="1" applyFont="1"/>
    <xf numFmtId="2" fontId="10" fillId="0" borderId="0" xfId="0" applyNumberFormat="1" applyFont="1"/>
    <xf numFmtId="0" fontId="11" fillId="0" borderId="1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6" xfId="0" applyFont="1" applyBorder="1" applyAlignment="1">
      <alignment horizontal="center" vertical="top" wrapText="1"/>
    </xf>
    <xf numFmtId="3" fontId="8" fillId="0" borderId="0" xfId="0" applyNumberFormat="1" applyFont="1"/>
    <xf numFmtId="10" fontId="8" fillId="0" borderId="0" xfId="0" applyNumberFormat="1" applyFont="1"/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10" fontId="8" fillId="0" borderId="1" xfId="2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center" vertical="center"/>
    </xf>
    <xf numFmtId="9" fontId="8" fillId="0" borderId="0" xfId="2" applyFont="1" applyBorder="1" applyAlignment="1">
      <alignment horizontal="center" vertical="center"/>
    </xf>
    <xf numFmtId="10" fontId="8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8" fillId="2" borderId="29" xfId="0" applyFont="1" applyFill="1" applyBorder="1"/>
    <xf numFmtId="0" fontId="8" fillId="2" borderId="29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wrapText="1"/>
    </xf>
    <xf numFmtId="43" fontId="8" fillId="2" borderId="29" xfId="1" applyFont="1" applyFill="1" applyBorder="1" applyAlignment="1">
      <alignment horizontal="center" wrapText="1"/>
    </xf>
    <xf numFmtId="0" fontId="12" fillId="0" borderId="0" xfId="0" applyFont="1"/>
    <xf numFmtId="43" fontId="8" fillId="0" borderId="0" xfId="1" applyFont="1"/>
    <xf numFmtId="166" fontId="8" fillId="2" borderId="29" xfId="1" applyNumberFormat="1" applyFont="1" applyFill="1" applyBorder="1" applyAlignment="1">
      <alignment horizontal="center" wrapText="1"/>
    </xf>
    <xf numFmtId="166" fontId="8" fillId="0" borderId="0" xfId="1" applyNumberFormat="1" applyFont="1"/>
    <xf numFmtId="2" fontId="8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justify" wrapText="1"/>
    </xf>
    <xf numFmtId="43" fontId="8" fillId="2" borderId="29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 indent="1"/>
    </xf>
    <xf numFmtId="165" fontId="9" fillId="0" borderId="15" xfId="1" applyNumberFormat="1" applyFont="1" applyFill="1" applyBorder="1" applyAlignment="1">
      <alignment horizontal="justify" vertical="top" wrapText="1"/>
    </xf>
    <xf numFmtId="165" fontId="9" fillId="0" borderId="16" xfId="1" applyNumberFormat="1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10" fillId="0" borderId="6" xfId="0" applyFont="1" applyBorder="1" applyAlignment="1">
      <alignment horizontal="center" vertical="top" wrapText="1"/>
    </xf>
    <xf numFmtId="164" fontId="10" fillId="0" borderId="19" xfId="2" applyNumberFormat="1" applyFont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wrapText="1"/>
    </xf>
    <xf numFmtId="165" fontId="10" fillId="0" borderId="5" xfId="1" applyNumberFormat="1" applyFont="1" applyBorder="1" applyAlignment="1">
      <alignment horizontal="center" wrapText="1"/>
    </xf>
    <xf numFmtId="165" fontId="10" fillId="0" borderId="9" xfId="1" applyNumberFormat="1" applyFont="1" applyBorder="1" applyAlignment="1">
      <alignment horizontal="center" wrapText="1"/>
    </xf>
    <xf numFmtId="165" fontId="10" fillId="0" borderId="18" xfId="1" applyNumberFormat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164" fontId="10" fillId="0" borderId="1" xfId="2" applyNumberFormat="1" applyFont="1" applyBorder="1" applyAlignment="1">
      <alignment horizontal="center"/>
    </xf>
    <xf numFmtId="164" fontId="10" fillId="0" borderId="19" xfId="2" applyNumberFormat="1" applyFont="1" applyBorder="1" applyAlignment="1">
      <alignment horizontal="center"/>
    </xf>
    <xf numFmtId="10" fontId="10" fillId="0" borderId="19" xfId="2" applyNumberFormat="1" applyFont="1" applyBorder="1" applyAlignment="1">
      <alignment horizontal="center"/>
    </xf>
    <xf numFmtId="0" fontId="10" fillId="0" borderId="5" xfId="0" applyFont="1" applyBorder="1" applyAlignment="1">
      <alignment horizontal="left" vertical="top" wrapText="1" indent="2"/>
    </xf>
    <xf numFmtId="0" fontId="9" fillId="0" borderId="5" xfId="0" applyFont="1" applyBorder="1" applyAlignment="1">
      <alignment vertical="top" wrapText="1"/>
    </xf>
    <xf numFmtId="164" fontId="10" fillId="0" borderId="0" xfId="2" applyNumberFormat="1" applyFont="1"/>
    <xf numFmtId="0" fontId="10" fillId="0" borderId="5" xfId="0" applyFont="1" applyBorder="1" applyAlignment="1">
      <alignment horizontal="left" wrapText="1" indent="2"/>
    </xf>
    <xf numFmtId="0" fontId="10" fillId="0" borderId="5" xfId="0" applyFont="1" applyBorder="1" applyAlignment="1">
      <alignment horizontal="justify" vertical="top" wrapText="1"/>
    </xf>
    <xf numFmtId="165" fontId="10" fillId="0" borderId="20" xfId="1" applyNumberFormat="1" applyFont="1" applyBorder="1" applyAlignment="1">
      <alignment horizontal="center"/>
    </xf>
    <xf numFmtId="165" fontId="10" fillId="0" borderId="21" xfId="1" applyNumberFormat="1" applyFont="1" applyBorder="1" applyAlignment="1">
      <alignment horizontal="center"/>
    </xf>
    <xf numFmtId="164" fontId="10" fillId="0" borderId="21" xfId="2" applyNumberFormat="1" applyFont="1" applyBorder="1" applyAlignment="1">
      <alignment horizontal="center"/>
    </xf>
    <xf numFmtId="164" fontId="10" fillId="0" borderId="22" xfId="2" applyNumberFormat="1" applyFont="1" applyBorder="1" applyAlignment="1">
      <alignment horizontal="center"/>
    </xf>
    <xf numFmtId="164" fontId="10" fillId="0" borderId="22" xfId="2" applyNumberFormat="1" applyFont="1" applyBorder="1"/>
    <xf numFmtId="0" fontId="9" fillId="0" borderId="0" xfId="0" applyFont="1" applyAlignment="1">
      <alignment wrapText="1"/>
    </xf>
    <xf numFmtId="0" fontId="10" fillId="2" borderId="29" xfId="0" applyFont="1" applyFill="1" applyBorder="1" applyAlignment="1">
      <alignment wrapText="1"/>
    </xf>
    <xf numFmtId="43" fontId="10" fillId="2" borderId="29" xfId="1" applyFont="1" applyFill="1" applyBorder="1" applyAlignment="1">
      <alignment vertical="center" wrapText="1"/>
    </xf>
    <xf numFmtId="43" fontId="10" fillId="2" borderId="38" xfId="0" applyNumberFormat="1" applyFont="1" applyFill="1" applyBorder="1" applyAlignment="1">
      <alignment vertical="center" wrapText="1"/>
    </xf>
    <xf numFmtId="43" fontId="10" fillId="2" borderId="37" xfId="1" applyFont="1" applyFill="1" applyBorder="1" applyAlignment="1">
      <alignment vertical="center" wrapText="1"/>
    </xf>
    <xf numFmtId="165" fontId="10" fillId="0" borderId="0" xfId="1" applyNumberFormat="1" applyFont="1"/>
    <xf numFmtId="0" fontId="14" fillId="0" borderId="0" xfId="3" applyFont="1" applyAlignment="1" applyProtection="1"/>
    <xf numFmtId="165" fontId="10" fillId="0" borderId="0" xfId="0" applyNumberFormat="1" applyFont="1"/>
    <xf numFmtId="165" fontId="8" fillId="2" borderId="29" xfId="1" applyNumberFormat="1" applyFont="1" applyFill="1" applyBorder="1" applyAlignment="1">
      <alignment horizontal="center" vertical="center" wrapText="1"/>
    </xf>
    <xf numFmtId="14" fontId="6" fillId="0" borderId="0" xfId="0" applyNumberFormat="1" applyFont="1"/>
    <xf numFmtId="14" fontId="8" fillId="0" borderId="0" xfId="1" applyNumberFormat="1" applyFont="1"/>
    <xf numFmtId="0" fontId="11" fillId="2" borderId="50" xfId="0" applyFont="1" applyFill="1" applyBorder="1" applyAlignment="1">
      <alignment vertical="center" wrapText="1"/>
    </xf>
    <xf numFmtId="43" fontId="8" fillId="2" borderId="36" xfId="1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vertical="center" wrapText="1"/>
    </xf>
    <xf numFmtId="43" fontId="8" fillId="2" borderId="38" xfId="1" applyFont="1" applyFill="1" applyBorder="1" applyAlignment="1">
      <alignment horizontal="center" vertical="center" wrapText="1"/>
    </xf>
    <xf numFmtId="43" fontId="8" fillId="2" borderId="38" xfId="1" applyFont="1" applyFill="1" applyBorder="1" applyAlignment="1">
      <alignment vertical="top" wrapText="1"/>
    </xf>
    <xf numFmtId="0" fontId="15" fillId="0" borderId="0" xfId="0" applyFont="1"/>
    <xf numFmtId="43" fontId="8" fillId="0" borderId="0" xfId="0" applyNumberFormat="1" applyFont="1"/>
    <xf numFmtId="17" fontId="6" fillId="0" borderId="0" xfId="0" applyNumberFormat="1" applyFont="1"/>
    <xf numFmtId="10" fontId="10" fillId="0" borderId="30" xfId="2" applyNumberFormat="1" applyFont="1" applyBorder="1" applyAlignment="1">
      <alignment horizontal="center"/>
    </xf>
    <xf numFmtId="10" fontId="10" fillId="0" borderId="32" xfId="2" applyNumberFormat="1" applyFont="1" applyBorder="1" applyAlignment="1">
      <alignment horizontal="center"/>
    </xf>
    <xf numFmtId="165" fontId="10" fillId="0" borderId="23" xfId="1" applyNumberFormat="1" applyFont="1" applyBorder="1" applyAlignment="1">
      <alignment horizontal="center"/>
    </xf>
    <xf numFmtId="165" fontId="10" fillId="0" borderId="24" xfId="1" applyNumberFormat="1" applyFont="1" applyBorder="1" applyAlignment="1">
      <alignment horizontal="center"/>
    </xf>
    <xf numFmtId="165" fontId="10" fillId="0" borderId="25" xfId="1" applyNumberFormat="1" applyFont="1" applyBorder="1" applyAlignment="1">
      <alignment horizontal="center"/>
    </xf>
    <xf numFmtId="165" fontId="10" fillId="0" borderId="7" xfId="1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/>
    </xf>
    <xf numFmtId="165" fontId="10" fillId="0" borderId="3" xfId="1" applyNumberFormat="1" applyFont="1" applyBorder="1" applyAlignment="1">
      <alignment horizontal="center"/>
    </xf>
    <xf numFmtId="164" fontId="10" fillId="0" borderId="7" xfId="2" applyNumberFormat="1" applyFont="1" applyBorder="1" applyAlignment="1">
      <alignment horizontal="center"/>
    </xf>
    <xf numFmtId="164" fontId="10" fillId="0" borderId="4" xfId="2" applyNumberFormat="1" applyFont="1" applyBorder="1" applyAlignment="1">
      <alignment horizontal="center"/>
    </xf>
    <xf numFmtId="164" fontId="10" fillId="0" borderId="3" xfId="2" applyNumberFormat="1" applyFont="1" applyBorder="1" applyAlignment="1">
      <alignment horizontal="center"/>
    </xf>
    <xf numFmtId="10" fontId="10" fillId="0" borderId="31" xfId="2" applyNumberFormat="1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5" fontId="10" fillId="0" borderId="7" xfId="1" applyNumberFormat="1" applyFont="1" applyBorder="1" applyAlignment="1">
      <alignment horizontal="center" wrapText="1"/>
    </xf>
    <xf numFmtId="165" fontId="10" fillId="0" borderId="4" xfId="1" applyNumberFormat="1" applyFont="1" applyBorder="1" applyAlignment="1">
      <alignment horizontal="center" wrapText="1"/>
    </xf>
    <xf numFmtId="165" fontId="10" fillId="0" borderId="3" xfId="1" applyNumberFormat="1" applyFont="1" applyBorder="1" applyAlignment="1">
      <alignment horizontal="center" wrapText="1"/>
    </xf>
    <xf numFmtId="165" fontId="10" fillId="0" borderId="10" xfId="1" applyNumberFormat="1" applyFont="1" applyBorder="1" applyAlignment="1">
      <alignment horizontal="center" wrapText="1"/>
    </xf>
    <xf numFmtId="165" fontId="10" fillId="0" borderId="14" xfId="1" applyNumberFormat="1" applyFont="1" applyBorder="1" applyAlignment="1">
      <alignment horizontal="center" wrapText="1"/>
    </xf>
    <xf numFmtId="165" fontId="10" fillId="0" borderId="11" xfId="1" applyNumberFormat="1" applyFont="1" applyBorder="1" applyAlignment="1">
      <alignment horizont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164" fontId="10" fillId="0" borderId="26" xfId="2" applyNumberFormat="1" applyFont="1" applyBorder="1" applyAlignment="1">
      <alignment horizontal="center"/>
    </xf>
    <xf numFmtId="164" fontId="10" fillId="0" borderId="27" xfId="2" applyNumberFormat="1" applyFont="1" applyBorder="1" applyAlignment="1">
      <alignment horizontal="center"/>
    </xf>
    <xf numFmtId="164" fontId="10" fillId="0" borderId="28" xfId="2" applyNumberFormat="1" applyFont="1" applyBorder="1" applyAlignment="1">
      <alignment horizontal="center"/>
    </xf>
    <xf numFmtId="0" fontId="9" fillId="0" borderId="49" xfId="0" applyFont="1" applyBorder="1" applyAlignment="1">
      <alignment horizont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9" fontId="8" fillId="0" borderId="7" xfId="2" applyFont="1" applyBorder="1" applyAlignment="1">
      <alignment horizontal="center" vertical="center"/>
    </xf>
    <xf numFmtId="9" fontId="8" fillId="0" borderId="3" xfId="2" applyFont="1" applyBorder="1" applyAlignment="1">
      <alignment horizontal="center" vertical="center"/>
    </xf>
    <xf numFmtId="10" fontId="8" fillId="0" borderId="7" xfId="2" applyNumberFormat="1" applyFont="1" applyBorder="1" applyAlignment="1">
      <alignment horizontal="center" vertical="center"/>
    </xf>
    <xf numFmtId="10" fontId="8" fillId="0" borderId="3" xfId="2" applyNumberFormat="1" applyFont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10" fontId="8" fillId="0" borderId="7" xfId="0" applyNumberFormat="1" applyFont="1" applyBorder="1" applyAlignment="1">
      <alignment horizontal="center" vertical="center"/>
    </xf>
    <xf numFmtId="10" fontId="8" fillId="0" borderId="3" xfId="0" applyNumberFormat="1" applyFont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wrapText="1"/>
    </xf>
    <xf numFmtId="3" fontId="3" fillId="0" borderId="8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0" fontId="2" fillId="0" borderId="1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3" fillId="0" borderId="8" xfId="0" applyFont="1" applyBorder="1" applyAlignment="1">
      <alignment horizontal="justify" wrapText="1"/>
    </xf>
    <xf numFmtId="0" fontId="3" fillId="0" borderId="1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9"/>
  <c:chart>
    <c:title>
      <c:tx>
        <c:rich>
          <a:bodyPr/>
          <a:lstStyle/>
          <a:p>
            <a:pPr>
              <a:defRPr/>
            </a:pPr>
            <a:r>
              <a:rPr lang="ru-RU"/>
              <a:t>Рис.1 Динамика суммы оборотных и внеоборотных активов</a:t>
            </a:r>
          </a:p>
        </c:rich>
      </c:tx>
      <c:layout>
        <c:manualLayout>
          <c:xMode val="edge"/>
          <c:yMode val="edge"/>
          <c:x val="0.10962489063867023"/>
          <c:y val="2.7996508152054112E-2"/>
        </c:manualLayout>
      </c:layout>
    </c:title>
    <c:plotArea>
      <c:layout/>
      <c:areaChart>
        <c:grouping val="stacked"/>
        <c:ser>
          <c:idx val="0"/>
          <c:order val="0"/>
          <c:tx>
            <c:strRef>
              <c:f>актив!$O$3</c:f>
              <c:strCache>
                <c:ptCount val="1"/>
                <c:pt idx="0">
                  <c:v>ВНЕОБОРОТНЫЕ АКТИВЫ</c:v>
                </c:pt>
              </c:strCache>
            </c:strRef>
          </c:tx>
          <c:spPr>
            <a:ln w="0" cmpd="tri">
              <a:solidFill>
                <a:srgbClr val="9BBB59">
                  <a:lumMod val="50000"/>
                  <a:alpha val="62000"/>
                </a:srgbClr>
              </a:solidFill>
              <a:prstDash val="solid"/>
              <a:round/>
            </a:ln>
            <a:effectLst>
              <a:innerShdw>
                <a:srgbClr val="9BBB59">
                  <a:lumMod val="50000"/>
                  <a:alpha val="50000"/>
                </a:srgbClr>
              </a:inn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241300" h="69850"/>
              <a:bevelB w="6350" h="158750"/>
            </a:sp3d>
          </c:spPr>
          <c:cat>
            <c:strRef>
              <c:f>актив!$P$2:$R$2</c:f>
              <c:strCache>
                <c:ptCount val="3"/>
                <c:pt idx="0">
                  <c:v>На 31 декабря 2017 г.</c:v>
                </c:pt>
                <c:pt idx="1">
                  <c:v>На 31 декабря 2016 г.</c:v>
                </c:pt>
                <c:pt idx="2">
                  <c:v>На 31 декабря 2015 г.</c:v>
                </c:pt>
              </c:strCache>
            </c:strRef>
          </c:cat>
          <c:val>
            <c:numRef>
              <c:f>актив!$P$3:$R$3</c:f>
              <c:numCache>
                <c:formatCode>#,##0</c:formatCode>
                <c:ptCount val="3"/>
                <c:pt idx="0">
                  <c:v>51532127</c:v>
                </c:pt>
                <c:pt idx="1">
                  <c:v>46352267</c:v>
                </c:pt>
                <c:pt idx="2">
                  <c:v>44450078</c:v>
                </c:pt>
              </c:numCache>
            </c:numRef>
          </c:val>
        </c:ser>
        <c:ser>
          <c:idx val="1"/>
          <c:order val="1"/>
          <c:tx>
            <c:strRef>
              <c:f>актив!$O$4</c:f>
              <c:strCache>
                <c:ptCount val="1"/>
                <c:pt idx="0">
                  <c:v>ОБОРОТНЫЕ АКТИВЫ</c:v>
                </c:pt>
              </c:strCache>
            </c:strRef>
          </c:tx>
          <c:cat>
            <c:strRef>
              <c:f>актив!$P$2:$R$2</c:f>
              <c:strCache>
                <c:ptCount val="3"/>
                <c:pt idx="0">
                  <c:v>На 31 декабря 2017 г.</c:v>
                </c:pt>
                <c:pt idx="1">
                  <c:v>На 31 декабря 2016 г.</c:v>
                </c:pt>
                <c:pt idx="2">
                  <c:v>На 31 декабря 2015 г.</c:v>
                </c:pt>
              </c:strCache>
            </c:strRef>
          </c:cat>
          <c:val>
            <c:numRef>
              <c:f>актив!$P$4:$R$4</c:f>
              <c:numCache>
                <c:formatCode>#,##0</c:formatCode>
                <c:ptCount val="3"/>
                <c:pt idx="0">
                  <c:v>19379793</c:v>
                </c:pt>
                <c:pt idx="1">
                  <c:v>20727348</c:v>
                </c:pt>
                <c:pt idx="2">
                  <c:v>16940153</c:v>
                </c:pt>
              </c:numCache>
            </c:numRef>
          </c:val>
        </c:ser>
        <c:axId val="83819136"/>
        <c:axId val="83644800"/>
      </c:areaChart>
      <c:catAx>
        <c:axId val="83819136"/>
        <c:scaling>
          <c:orientation val="minMax"/>
        </c:scaling>
        <c:axPos val="b"/>
        <c:majorTickMark val="none"/>
        <c:tickLblPos val="nextTo"/>
        <c:crossAx val="83644800"/>
        <c:crosses val="autoZero"/>
        <c:auto val="1"/>
        <c:lblAlgn val="ctr"/>
        <c:lblOffset val="100"/>
      </c:catAx>
      <c:valAx>
        <c:axId val="8364480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3819136"/>
        <c:crosses val="autoZero"/>
        <c:crossBetween val="midCat"/>
      </c:valAx>
    </c:plotArea>
    <c:legend>
      <c:legendPos val="b"/>
      <c:layout/>
    </c:legend>
    <c:plotVisOnly val="1"/>
    <c:dispBlanksAs val="zero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7"/>
  <c:chart>
    <c:title>
      <c:tx>
        <c:rich>
          <a:bodyPr/>
          <a:lstStyle/>
          <a:p>
            <a:pPr>
              <a:defRPr/>
            </a:pPr>
            <a:r>
              <a:rPr lang="ru-RU"/>
              <a:t>Рис.3 Структура активов предприятия на конец периода%,  за 2016-2017 г.</a:t>
            </a:r>
          </a:p>
        </c:rich>
      </c:tx>
      <c:layout/>
    </c:title>
    <c:view3D>
      <c:rotX val="30"/>
      <c:rotY val="137"/>
      <c:perspective val="30"/>
    </c:view3D>
    <c:plotArea>
      <c:layout/>
      <c:pie3DChart>
        <c:varyColors val="1"/>
        <c:ser>
          <c:idx val="0"/>
          <c:order val="0"/>
          <c:tx>
            <c:strRef>
              <c:f>актив!$P$14</c:f>
              <c:strCache>
                <c:ptCount val="1"/>
                <c:pt idx="0">
                  <c:v>уд. вес. %,  за 2016-2017 г.</c:v>
                </c:pt>
              </c:strCache>
            </c:strRef>
          </c:tx>
          <c:spPr>
            <a:ln w="12700">
              <a:solidFill>
                <a:srgbClr val="9BBB59">
                  <a:lumMod val="50000"/>
                </a:srgbClr>
              </a:solidFill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 prstMaterial="plastic">
              <a:bevelT/>
              <a:bevelB/>
              <a:contourClr>
                <a:srgbClr val="000000"/>
              </a:contourClr>
            </a:sp3d>
          </c:spPr>
          <c:dLbls>
            <c:showVal val="1"/>
            <c:showLeaderLines val="1"/>
          </c:dLbls>
          <c:cat>
            <c:strRef>
              <c:f>актив!$O$15:$O$16</c:f>
              <c:strCache>
                <c:ptCount val="2"/>
                <c:pt idx="0">
                  <c:v>ВНЕОБОРОТНЫЕ АКТИВЫ</c:v>
                </c:pt>
                <c:pt idx="1">
                  <c:v>ОБОРОТНЫЕ АКТИВЫ</c:v>
                </c:pt>
              </c:strCache>
            </c:strRef>
          </c:cat>
          <c:val>
            <c:numRef>
              <c:f>актив!$P$15:$P$16</c:f>
              <c:numCache>
                <c:formatCode>0.00%</c:formatCode>
                <c:ptCount val="2"/>
                <c:pt idx="0">
                  <c:v>0.72670613064771061</c:v>
                </c:pt>
                <c:pt idx="1">
                  <c:v>0.27329386935228944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9"/>
  <c:chart>
    <c:title>
      <c:tx>
        <c:rich>
          <a:bodyPr/>
          <a:lstStyle/>
          <a:p>
            <a:pPr>
              <a:defRPr/>
            </a:pPr>
            <a:r>
              <a:rPr lang="ru-RU" sz="1100" b="1" i="0" u="none" strike="noStrike" baseline="0">
                <a:latin typeface="Times New Roman" pitchFamily="18" charset="0"/>
                <a:cs typeface="Times New Roman" pitchFamily="18" charset="0"/>
              </a:rPr>
              <a:t>Рис.2 Динамика суммы пассивов(источников финансовых ресурсов) предприятия</a:t>
            </a:r>
            <a:endParaRPr lang="ru-RU" sz="11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/>
      <c:areaChart>
        <c:grouping val="standard"/>
        <c:ser>
          <c:idx val="0"/>
          <c:order val="0"/>
          <c:tx>
            <c:strRef>
              <c:f>пассив!$N$2</c:f>
              <c:strCache>
                <c:ptCount val="1"/>
                <c:pt idx="0">
                  <c:v>КАПИТАЛ И РЕЗЕРВЫ</c:v>
                </c:pt>
              </c:strCache>
            </c:strRef>
          </c:tx>
          <c:cat>
            <c:strRef>
              <c:f>пассив!$O$1:$Q$1</c:f>
              <c:strCache>
                <c:ptCount val="3"/>
                <c:pt idx="0">
                  <c:v>На 31 декабря 2017 г.</c:v>
                </c:pt>
                <c:pt idx="1">
                  <c:v>На 31 декабря 2016 г.</c:v>
                </c:pt>
                <c:pt idx="2">
                  <c:v>На 31 декабря 2015 г.</c:v>
                </c:pt>
              </c:strCache>
            </c:strRef>
          </c:cat>
          <c:val>
            <c:numRef>
              <c:f>пассив!$O$2:$Q$2</c:f>
              <c:numCache>
                <c:formatCode>#,##0</c:formatCode>
                <c:ptCount val="3"/>
                <c:pt idx="0">
                  <c:v>49312701</c:v>
                </c:pt>
                <c:pt idx="1">
                  <c:v>42043116</c:v>
                </c:pt>
                <c:pt idx="2">
                  <c:v>37895029</c:v>
                </c:pt>
              </c:numCache>
            </c:numRef>
          </c:val>
        </c:ser>
        <c:ser>
          <c:idx val="1"/>
          <c:order val="1"/>
          <c:tx>
            <c:strRef>
              <c:f>пассив!$N$3</c:f>
              <c:strCache>
                <c:ptCount val="1"/>
                <c:pt idx="0">
                  <c:v>ДОЛГОСРОЧНЫЕ ОБЯЗАТЕЛЬСТВА</c:v>
                </c:pt>
              </c:strCache>
            </c:strRef>
          </c:tx>
          <c:cat>
            <c:strRef>
              <c:f>пассив!$O$1:$Q$1</c:f>
              <c:strCache>
                <c:ptCount val="3"/>
                <c:pt idx="0">
                  <c:v>На 31 декабря 2017 г.</c:v>
                </c:pt>
                <c:pt idx="1">
                  <c:v>На 31 декабря 2016 г.</c:v>
                </c:pt>
                <c:pt idx="2">
                  <c:v>На 31 декабря 2015 г.</c:v>
                </c:pt>
              </c:strCache>
            </c:strRef>
          </c:cat>
          <c:val>
            <c:numRef>
              <c:f>пассив!$O$3:$Q$3</c:f>
              <c:numCache>
                <c:formatCode>#,##0</c:formatCode>
                <c:ptCount val="3"/>
                <c:pt idx="0">
                  <c:v>376376</c:v>
                </c:pt>
                <c:pt idx="1">
                  <c:v>649071</c:v>
                </c:pt>
                <c:pt idx="2">
                  <c:v>792137</c:v>
                </c:pt>
              </c:numCache>
            </c:numRef>
          </c:val>
        </c:ser>
        <c:ser>
          <c:idx val="2"/>
          <c:order val="2"/>
          <c:tx>
            <c:strRef>
              <c:f>пассив!$N$4</c:f>
              <c:strCache>
                <c:ptCount val="1"/>
                <c:pt idx="0">
                  <c:v>КРАТКОСРОЧНЫЕ ОБЯЗАТЕЛЬСТВА</c:v>
                </c:pt>
              </c:strCache>
            </c:strRef>
          </c:tx>
          <c:cat>
            <c:strRef>
              <c:f>пассив!$O$1:$Q$1</c:f>
              <c:strCache>
                <c:ptCount val="3"/>
                <c:pt idx="0">
                  <c:v>На 31 декабря 2017 г.</c:v>
                </c:pt>
                <c:pt idx="1">
                  <c:v>На 31 декабря 2016 г.</c:v>
                </c:pt>
                <c:pt idx="2">
                  <c:v>На 31 декабря 2015 г.</c:v>
                </c:pt>
              </c:strCache>
            </c:strRef>
          </c:cat>
          <c:val>
            <c:numRef>
              <c:f>пассив!$O$4:$Q$4</c:f>
              <c:numCache>
                <c:formatCode>#,##0</c:formatCode>
                <c:ptCount val="3"/>
                <c:pt idx="0">
                  <c:v>21222843</c:v>
                </c:pt>
                <c:pt idx="1">
                  <c:v>24387428</c:v>
                </c:pt>
                <c:pt idx="2">
                  <c:v>22703065</c:v>
                </c:pt>
              </c:numCache>
            </c:numRef>
          </c:val>
        </c:ser>
        <c:axId val="101626624"/>
        <c:axId val="101628160"/>
      </c:areaChart>
      <c:catAx>
        <c:axId val="101626624"/>
        <c:scaling>
          <c:orientation val="minMax"/>
        </c:scaling>
        <c:axPos val="b"/>
        <c:majorTickMark val="none"/>
        <c:tickLblPos val="nextTo"/>
        <c:crossAx val="101628160"/>
        <c:crosses val="autoZero"/>
        <c:auto val="1"/>
        <c:lblAlgn val="ctr"/>
        <c:lblOffset val="100"/>
      </c:catAx>
      <c:valAx>
        <c:axId val="10162816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101626624"/>
        <c:crosses val="autoZero"/>
        <c:crossBetween val="midCat"/>
      </c:valAx>
    </c:plotArea>
    <c:legend>
      <c:legendPos val="r"/>
      <c:legendEntry>
        <c:idx val="1"/>
        <c:delete val="1"/>
      </c:legendEntry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7"/>
  <c:chart>
    <c:title>
      <c:tx>
        <c:rich>
          <a:bodyPr/>
          <a:lstStyle/>
          <a:p>
            <a:pPr>
              <a:defRPr/>
            </a:pPr>
            <a:r>
              <a:rPr lang="ru-RU"/>
              <a:t>Рис.3 Структура </a:t>
            </a:r>
            <a:r>
              <a:rPr lang="ru-RU" sz="1800" b="1" i="0" u="none" strike="noStrike" baseline="0"/>
              <a:t>пассивов</a:t>
            </a:r>
            <a:r>
              <a:rPr lang="ru-RU"/>
              <a:t> предприятия на конец периода %,  за 2016-2017 г.</a:t>
            </a:r>
          </a:p>
        </c:rich>
      </c:tx>
      <c:layout/>
    </c:title>
    <c:view3D>
      <c:rotX val="30"/>
      <c:rotY val="137"/>
      <c:perspective val="30"/>
    </c:view3D>
    <c:plotArea>
      <c:layout/>
      <c:pie3DChart>
        <c:varyColors val="1"/>
        <c:ser>
          <c:idx val="0"/>
          <c:order val="0"/>
          <c:tx>
            <c:strRef>
              <c:f>пассив!$O$11</c:f>
              <c:strCache>
                <c:ptCount val="1"/>
                <c:pt idx="0">
                  <c:v>уд. вес. %,  за 2016-2017 г.</c:v>
                </c:pt>
              </c:strCache>
            </c:strRef>
          </c:tx>
          <c:spPr>
            <a:ln w="12700">
              <a:solidFill>
                <a:srgbClr val="9BBB59">
                  <a:lumMod val="50000"/>
                </a:srgbClr>
              </a:solidFill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 prstMaterial="plastic">
              <a:bevelT/>
              <a:bevelB/>
              <a:contourClr>
                <a:srgbClr val="000000"/>
              </a:contourClr>
            </a:sp3d>
          </c:spPr>
          <c:dLbls>
            <c:showVal val="1"/>
            <c:showLeaderLines val="1"/>
          </c:dLbls>
          <c:cat>
            <c:strRef>
              <c:f>пассив!$N$12:$N$14</c:f>
              <c:strCache>
                <c:ptCount val="3"/>
                <c:pt idx="0">
                  <c:v>КАПИТАЛ И РЕЗЕРВЫ</c:v>
                </c:pt>
                <c:pt idx="1">
                  <c:v>ДОЛГОСРОЧНЫЕ ОБЯЗАТЕЛЬСТВА</c:v>
                </c:pt>
                <c:pt idx="2">
                  <c:v>КРАТКОСРОЧНЫЕ ОБЯЗАТЕЛЬСТВА</c:v>
                </c:pt>
              </c:strCache>
            </c:strRef>
          </c:cat>
          <c:val>
            <c:numRef>
              <c:f>пассив!$O$12:$O$14</c:f>
              <c:numCache>
                <c:formatCode>0.00%</c:formatCode>
                <c:ptCount val="3"/>
                <c:pt idx="0">
                  <c:v>0.69540778193567454</c:v>
                </c:pt>
                <c:pt idx="1">
                  <c:v>5.3076549048453351E-3</c:v>
                </c:pt>
                <c:pt idx="2">
                  <c:v>0.2992845631594801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0</xdr:row>
      <xdr:rowOff>28575</xdr:rowOff>
    </xdr:from>
    <xdr:to>
      <xdr:col>25</xdr:col>
      <xdr:colOff>428625</xdr:colOff>
      <xdr:row>12</xdr:row>
      <xdr:rowOff>104774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76200</xdr:colOff>
      <xdr:row>13</xdr:row>
      <xdr:rowOff>66675</xdr:rowOff>
    </xdr:from>
    <xdr:to>
      <xdr:col>25</xdr:col>
      <xdr:colOff>381000</xdr:colOff>
      <xdr:row>22</xdr:row>
      <xdr:rowOff>581025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0</xdr:row>
      <xdr:rowOff>161925</xdr:rowOff>
    </xdr:from>
    <xdr:to>
      <xdr:col>25</xdr:col>
      <xdr:colOff>381000</xdr:colOff>
      <xdr:row>10</xdr:row>
      <xdr:rowOff>28575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25</xdr:col>
      <xdr:colOff>304800</xdr:colOff>
      <xdr:row>24</xdr:row>
      <xdr:rowOff>66675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topLeftCell="J1" workbookViewId="0">
      <pane ySplit="1" topLeftCell="A2" activePane="bottomLeft" state="frozen"/>
      <selection pane="bottomLeft" activeCell="C15" sqref="C15:C16"/>
    </sheetView>
  </sheetViews>
  <sheetFormatPr defaultRowHeight="15" outlineLevelCol="1"/>
  <cols>
    <col min="1" max="1" width="29.5703125" style="35" customWidth="1"/>
    <col min="2" max="2" width="9.140625" style="35"/>
    <col min="3" max="5" width="15.7109375" style="102" customWidth="1"/>
    <col min="6" max="7" width="14.140625" style="102" customWidth="1" outlineLevel="1"/>
    <col min="8" max="9" width="14.140625" style="35" customWidth="1" outlineLevel="1"/>
    <col min="10" max="12" width="14.140625" style="35" customWidth="1"/>
    <col min="13" max="14" width="14.140625" style="35" customWidth="1" outlineLevel="1"/>
    <col min="15" max="15" width="10.140625" style="35" customWidth="1"/>
    <col min="16" max="16" width="11.85546875" style="35" customWidth="1"/>
    <col min="17" max="17" width="13.42578125" style="35" customWidth="1"/>
    <col min="18" max="18" width="12.42578125" style="35" customWidth="1"/>
    <col min="19" max="16384" width="9.140625" style="35"/>
  </cols>
  <sheetData>
    <row r="1" spans="1:18" ht="72.75" thickTop="1" thickBot="1">
      <c r="A1" s="71" t="s">
        <v>0</v>
      </c>
      <c r="B1" s="72" t="s">
        <v>1</v>
      </c>
      <c r="C1" s="32" t="s">
        <v>2</v>
      </c>
      <c r="D1" s="32" t="s">
        <v>3</v>
      </c>
      <c r="E1" s="33" t="s">
        <v>4</v>
      </c>
      <c r="F1" s="73" t="s">
        <v>77</v>
      </c>
      <c r="G1" s="74" t="s">
        <v>78</v>
      </c>
      <c r="H1" s="75" t="s">
        <v>79</v>
      </c>
      <c r="I1" s="22" t="s">
        <v>84</v>
      </c>
      <c r="J1" s="22" t="s">
        <v>93</v>
      </c>
      <c r="K1" s="22" t="s">
        <v>92</v>
      </c>
      <c r="L1" s="22" t="s">
        <v>86</v>
      </c>
      <c r="M1" s="22" t="s">
        <v>85</v>
      </c>
      <c r="N1" s="22" t="s">
        <v>83</v>
      </c>
    </row>
    <row r="2" spans="1:18" ht="15" customHeight="1" thickBot="1">
      <c r="A2" s="76" t="s">
        <v>5</v>
      </c>
      <c r="B2" s="128">
        <v>1110</v>
      </c>
      <c r="C2" s="131">
        <v>328695</v>
      </c>
      <c r="D2" s="131">
        <v>247411</v>
      </c>
      <c r="E2" s="134">
        <v>254879</v>
      </c>
      <c r="F2" s="118">
        <f>(C2-D2)</f>
        <v>81284</v>
      </c>
      <c r="G2" s="121">
        <f>(D2-E2)</f>
        <v>-7468</v>
      </c>
      <c r="H2" s="124">
        <f>F2/C2</f>
        <v>0.24729308325347207</v>
      </c>
      <c r="I2" s="143">
        <f>G2/D2</f>
        <v>-3.0184591630929909E-2</v>
      </c>
      <c r="J2" s="116">
        <f>C2/C$32</f>
        <v>4.6352573728084077E-3</v>
      </c>
      <c r="K2" s="116">
        <f>D2/D$32</f>
        <v>3.6883187239521277E-3</v>
      </c>
      <c r="L2" s="116">
        <f t="shared" ref="L2:L4" si="0">C2/C$32-D2/D$32</f>
        <v>9.4693864885627994E-4</v>
      </c>
      <c r="M2" s="77"/>
      <c r="N2" s="77"/>
      <c r="P2" s="35" t="str">
        <f>C1</f>
        <v>На 31 декабря 2017 г.</v>
      </c>
      <c r="Q2" s="35" t="str">
        <f>D1</f>
        <v>На 31 декабря 2016 г.</v>
      </c>
      <c r="R2" s="35" t="str">
        <f>E1</f>
        <v>На 31 декабря 2015 г.</v>
      </c>
    </row>
    <row r="3" spans="1:18" ht="15" customHeight="1" thickBot="1">
      <c r="A3" s="76" t="s">
        <v>6</v>
      </c>
      <c r="B3" s="129"/>
      <c r="C3" s="132"/>
      <c r="D3" s="132"/>
      <c r="E3" s="135"/>
      <c r="F3" s="119"/>
      <c r="G3" s="122"/>
      <c r="H3" s="125"/>
      <c r="I3" s="144"/>
      <c r="J3" s="127"/>
      <c r="K3" s="127"/>
      <c r="L3" s="127">
        <f t="shared" si="0"/>
        <v>0</v>
      </c>
      <c r="M3" s="77"/>
      <c r="N3" s="77"/>
      <c r="O3" s="35" t="str">
        <f>RIGHT(A3,19)</f>
        <v>ВНЕОБОРОТНЫЕ АКТИВЫ</v>
      </c>
      <c r="P3" s="36">
        <f>C14</f>
        <v>51532127</v>
      </c>
      <c r="Q3" s="36">
        <f>D14</f>
        <v>46352267</v>
      </c>
      <c r="R3" s="36">
        <f>E14</f>
        <v>44450078</v>
      </c>
    </row>
    <row r="4" spans="1:18" ht="15.75" customHeight="1" thickBot="1">
      <c r="A4" s="78" t="s">
        <v>7</v>
      </c>
      <c r="B4" s="130"/>
      <c r="C4" s="133"/>
      <c r="D4" s="133"/>
      <c r="E4" s="136"/>
      <c r="F4" s="120"/>
      <c r="G4" s="123"/>
      <c r="H4" s="126"/>
      <c r="I4" s="145"/>
      <c r="J4" s="117"/>
      <c r="K4" s="117"/>
      <c r="L4" s="117">
        <f t="shared" si="0"/>
        <v>0</v>
      </c>
      <c r="M4" s="77"/>
      <c r="N4" s="77"/>
      <c r="O4" s="35" t="str">
        <f>RIGHT(A15,16)</f>
        <v>ОБОРОТНЫЕ АКТИВЫ</v>
      </c>
      <c r="P4" s="36">
        <f>C31</f>
        <v>19379793</v>
      </c>
      <c r="Q4" s="36">
        <f>D31</f>
        <v>20727348</v>
      </c>
      <c r="R4" s="36">
        <f>E31</f>
        <v>16940153</v>
      </c>
    </row>
    <row r="5" spans="1:18" ht="30.75" thickBot="1">
      <c r="A5" s="78" t="s">
        <v>8</v>
      </c>
      <c r="B5" s="79">
        <v>1120</v>
      </c>
      <c r="C5" s="80"/>
      <c r="D5" s="80"/>
      <c r="E5" s="81"/>
      <c r="F5" s="82"/>
      <c r="G5" s="83"/>
      <c r="H5" s="84"/>
      <c r="I5" s="85"/>
      <c r="J5" s="86"/>
      <c r="K5" s="86"/>
      <c r="L5" s="86"/>
      <c r="M5" s="77"/>
      <c r="N5" s="77"/>
      <c r="O5" s="37"/>
    </row>
    <row r="6" spans="1:18" ht="30.75" thickBot="1">
      <c r="A6" s="78" t="s">
        <v>9</v>
      </c>
      <c r="B6" s="79">
        <v>1130</v>
      </c>
      <c r="C6" s="80"/>
      <c r="D6" s="80"/>
      <c r="E6" s="81"/>
      <c r="F6" s="82"/>
      <c r="G6" s="83"/>
      <c r="H6" s="84"/>
      <c r="I6" s="85"/>
      <c r="J6" s="86"/>
      <c r="K6" s="86"/>
      <c r="L6" s="86"/>
      <c r="M6" s="77"/>
      <c r="N6" s="77"/>
    </row>
    <row r="7" spans="1:18" ht="30.75" thickBot="1">
      <c r="A7" s="78" t="s">
        <v>10</v>
      </c>
      <c r="B7" s="79">
        <v>1140</v>
      </c>
      <c r="C7" s="80"/>
      <c r="D7" s="80"/>
      <c r="E7" s="81"/>
      <c r="F7" s="82"/>
      <c r="G7" s="83"/>
      <c r="H7" s="84"/>
      <c r="I7" s="85"/>
      <c r="J7" s="86"/>
      <c r="K7" s="86"/>
      <c r="L7" s="86"/>
      <c r="M7" s="77"/>
      <c r="N7" s="77"/>
    </row>
    <row r="8" spans="1:18" ht="15.75" thickBot="1">
      <c r="A8" s="78" t="s">
        <v>11</v>
      </c>
      <c r="B8" s="79">
        <v>1150</v>
      </c>
      <c r="C8" s="80">
        <v>34171520</v>
      </c>
      <c r="D8" s="80">
        <v>27294588</v>
      </c>
      <c r="E8" s="81">
        <v>25576436</v>
      </c>
      <c r="F8" s="82">
        <f>(C8-D8)</f>
        <v>6876932</v>
      </c>
      <c r="G8" s="83">
        <f>(D8-E8)</f>
        <v>1718152</v>
      </c>
      <c r="H8" s="84">
        <f>F8/C8</f>
        <v>0.20124747157867137</v>
      </c>
      <c r="I8" s="85">
        <f>G8/D8</f>
        <v>6.2948449707319262E-2</v>
      </c>
      <c r="J8" s="86">
        <f>C8/C$32</f>
        <v>0.48188682523333171</v>
      </c>
      <c r="K8" s="86">
        <f>D8/D$32</f>
        <v>0.40689839975974817</v>
      </c>
      <c r="L8" s="86">
        <f>C8/C$32-D8/D$32</f>
        <v>7.4988425473583531E-2</v>
      </c>
      <c r="M8" s="77"/>
      <c r="N8" s="77"/>
    </row>
    <row r="9" spans="1:18" ht="30.75" thickBot="1">
      <c r="A9" s="78" t="s">
        <v>12</v>
      </c>
      <c r="B9" s="79">
        <v>1160</v>
      </c>
      <c r="C9" s="80"/>
      <c r="D9" s="80"/>
      <c r="E9" s="81"/>
      <c r="F9" s="82"/>
      <c r="G9" s="83"/>
      <c r="H9" s="84"/>
      <c r="I9" s="85"/>
      <c r="J9" s="86"/>
      <c r="K9" s="86"/>
      <c r="L9" s="86"/>
      <c r="M9" s="77"/>
      <c r="N9" s="77"/>
    </row>
    <row r="10" spans="1:18" ht="15.75" thickBot="1">
      <c r="A10" s="78" t="s">
        <v>13</v>
      </c>
      <c r="B10" s="79">
        <v>1170</v>
      </c>
      <c r="C10" s="80">
        <v>8185082</v>
      </c>
      <c r="D10" s="80">
        <v>8185082</v>
      </c>
      <c r="E10" s="81">
        <v>8185182</v>
      </c>
      <c r="F10" s="82">
        <f>(C10-D10)</f>
        <v>0</v>
      </c>
      <c r="G10" s="83">
        <f>(D10-E10)</f>
        <v>-100</v>
      </c>
      <c r="H10" s="84">
        <f t="shared" ref="H10:H14" si="1">F10/C10</f>
        <v>0</v>
      </c>
      <c r="I10" s="85">
        <f t="shared" ref="I10:I14" si="2">G10/D10</f>
        <v>-1.22173485861229E-5</v>
      </c>
      <c r="J10" s="86">
        <f t="shared" ref="J10:J14" si="3">C10/C$32</f>
        <v>0.11542603838677616</v>
      </c>
      <c r="K10" s="86">
        <f t="shared" ref="K10:K14" si="4">D10/D$32</f>
        <v>0.12202040813740508</v>
      </c>
      <c r="L10" s="86">
        <f t="shared" ref="L10:L12" si="5">C10/C$32-D10/D$32</f>
        <v>-6.5943697506289228E-3</v>
      </c>
      <c r="M10" s="77"/>
      <c r="N10" s="77"/>
    </row>
    <row r="11" spans="1:18" ht="30.75" thickBot="1">
      <c r="A11" s="78" t="s">
        <v>14</v>
      </c>
      <c r="B11" s="79">
        <v>1180</v>
      </c>
      <c r="C11" s="80">
        <v>142071</v>
      </c>
      <c r="D11" s="80">
        <v>197548</v>
      </c>
      <c r="E11" s="81">
        <v>206271</v>
      </c>
      <c r="F11" s="82">
        <f t="shared" ref="F11:F14" si="6">(C11-D11)</f>
        <v>-55477</v>
      </c>
      <c r="G11" s="83">
        <f t="shared" ref="G11:G14" si="7">(D11-E11)</f>
        <v>-8723</v>
      </c>
      <c r="H11" s="84">
        <f t="shared" si="1"/>
        <v>-0.3904878546642172</v>
      </c>
      <c r="I11" s="85">
        <f t="shared" si="2"/>
        <v>-4.4156356936035798E-2</v>
      </c>
      <c r="J11" s="86">
        <f t="shared" si="3"/>
        <v>2.0034854506830444E-3</v>
      </c>
      <c r="K11" s="86">
        <f t="shared" si="4"/>
        <v>2.9449781427636399E-3</v>
      </c>
      <c r="L11" s="86">
        <f t="shared" si="5"/>
        <v>-9.4149269208059546E-4</v>
      </c>
      <c r="M11" s="77"/>
      <c r="N11" s="77"/>
    </row>
    <row r="12" spans="1:18" ht="15.75" thickBot="1">
      <c r="A12" s="78" t="s">
        <v>15</v>
      </c>
      <c r="B12" s="79">
        <v>1190</v>
      </c>
      <c r="C12" s="80">
        <v>8704759</v>
      </c>
      <c r="D12" s="80">
        <v>10427638</v>
      </c>
      <c r="E12" s="81">
        <v>10227310</v>
      </c>
      <c r="F12" s="82">
        <f t="shared" si="6"/>
        <v>-1722879</v>
      </c>
      <c r="G12" s="83">
        <f t="shared" si="7"/>
        <v>200328</v>
      </c>
      <c r="H12" s="84">
        <f t="shared" si="1"/>
        <v>-0.19792380237063428</v>
      </c>
      <c r="I12" s="85">
        <f t="shared" si="2"/>
        <v>1.9211253785373063E-2</v>
      </c>
      <c r="J12" s="86">
        <f t="shared" si="3"/>
        <v>0.12275452420411125</v>
      </c>
      <c r="K12" s="86">
        <f t="shared" si="4"/>
        <v>0.15545166739552693</v>
      </c>
      <c r="L12" s="86">
        <f t="shared" si="5"/>
        <v>-3.2697143191415687E-2</v>
      </c>
      <c r="M12" s="77"/>
      <c r="N12" s="77"/>
    </row>
    <row r="13" spans="1:18" ht="30.75" thickBot="1">
      <c r="A13" s="87" t="s">
        <v>16</v>
      </c>
      <c r="B13" s="79">
        <v>11901</v>
      </c>
      <c r="C13" s="80">
        <v>8662082</v>
      </c>
      <c r="D13" s="80">
        <v>10376501</v>
      </c>
      <c r="E13" s="81">
        <v>10179463</v>
      </c>
      <c r="F13" s="82">
        <f t="shared" si="6"/>
        <v>-1714419</v>
      </c>
      <c r="G13" s="83">
        <f t="shared" si="7"/>
        <v>197038</v>
      </c>
      <c r="H13" s="84">
        <f t="shared" si="1"/>
        <v>-0.19792227780803737</v>
      </c>
      <c r="I13" s="85">
        <f t="shared" si="2"/>
        <v>1.8988867249181588E-2</v>
      </c>
      <c r="J13" s="86">
        <f t="shared" si="3"/>
        <v>0.12215269308742452</v>
      </c>
      <c r="K13" s="86">
        <f t="shared" si="4"/>
        <v>0.1546893344572714</v>
      </c>
      <c r="L13" s="86">
        <f>C13/C$32-D13/D$32</f>
        <v>-3.253664136984688E-2</v>
      </c>
      <c r="M13" s="77"/>
      <c r="N13" s="77"/>
    </row>
    <row r="14" spans="1:18" ht="15.75" thickBot="1">
      <c r="A14" s="88" t="s">
        <v>17</v>
      </c>
      <c r="B14" s="79">
        <v>1100</v>
      </c>
      <c r="C14" s="80">
        <v>51532127</v>
      </c>
      <c r="D14" s="80">
        <v>46352267</v>
      </c>
      <c r="E14" s="81">
        <v>44450078</v>
      </c>
      <c r="F14" s="82">
        <f t="shared" si="6"/>
        <v>5179860</v>
      </c>
      <c r="G14" s="83">
        <f t="shared" si="7"/>
        <v>1902189</v>
      </c>
      <c r="H14" s="84">
        <f t="shared" si="1"/>
        <v>0.1005171007204884</v>
      </c>
      <c r="I14" s="85">
        <f t="shared" si="2"/>
        <v>4.1037669203967952E-2</v>
      </c>
      <c r="J14" s="86">
        <f t="shared" si="3"/>
        <v>0.72670613064771061</v>
      </c>
      <c r="K14" s="86">
        <f t="shared" si="4"/>
        <v>0.69100377215939601</v>
      </c>
      <c r="L14" s="86">
        <f>C14/C$32-D14/D$32</f>
        <v>3.5702358488314601E-2</v>
      </c>
      <c r="M14" s="77">
        <f>D14/D$32</f>
        <v>0.69100377215939601</v>
      </c>
      <c r="N14" s="77">
        <f>L14-M14</f>
        <v>-0.65530141367108141</v>
      </c>
      <c r="O14" s="89"/>
      <c r="P14" s="35" t="str">
        <f>J1</f>
        <v>уд. вес. %,  за 2016-2017 г.</v>
      </c>
    </row>
    <row r="15" spans="1:18" ht="15" customHeight="1" thickBot="1">
      <c r="A15" s="76" t="s">
        <v>18</v>
      </c>
      <c r="B15" s="128">
        <v>1210</v>
      </c>
      <c r="C15" s="131">
        <v>1403532</v>
      </c>
      <c r="D15" s="131">
        <v>1605842</v>
      </c>
      <c r="E15" s="134">
        <v>1620007</v>
      </c>
      <c r="F15" s="118">
        <f>(C15-D15)</f>
        <v>-202310</v>
      </c>
      <c r="G15" s="121">
        <f>(D15-E15)</f>
        <v>-14165</v>
      </c>
      <c r="H15" s="124">
        <f>F15:F15/C15</f>
        <v>-0.14414348942525002</v>
      </c>
      <c r="I15" s="143">
        <f>G15:G15/D15</f>
        <v>-8.8209176245234583E-3</v>
      </c>
      <c r="J15" s="116">
        <f>C15/C$32</f>
        <v>1.979261032559829E-2</v>
      </c>
      <c r="K15" s="116">
        <f>D15/D$32</f>
        <v>2.3939344314960663E-2</v>
      </c>
      <c r="L15" s="116">
        <f>C15/C$32-D15/D$32</f>
        <v>-4.1467339893623729E-3</v>
      </c>
      <c r="M15" s="77"/>
      <c r="N15" s="77"/>
      <c r="O15" s="35" t="str">
        <f>O3</f>
        <v>ВНЕОБОРОТНЫЕ АКТИВЫ</v>
      </c>
      <c r="P15" s="37">
        <f>J14</f>
        <v>0.72670613064771061</v>
      </c>
    </row>
    <row r="16" spans="1:18" ht="15.75" customHeight="1" thickBot="1">
      <c r="A16" s="78" t="s">
        <v>19</v>
      </c>
      <c r="B16" s="130"/>
      <c r="C16" s="133"/>
      <c r="D16" s="133"/>
      <c r="E16" s="136"/>
      <c r="F16" s="120"/>
      <c r="G16" s="123"/>
      <c r="H16" s="126"/>
      <c r="I16" s="145"/>
      <c r="J16" s="117"/>
      <c r="K16" s="117"/>
      <c r="L16" s="117"/>
      <c r="M16" s="77">
        <f>D15/D$32</f>
        <v>2.3939344314960663E-2</v>
      </c>
      <c r="N16" s="77">
        <f>L15-M16</f>
        <v>-2.8086078304323036E-2</v>
      </c>
      <c r="O16" s="35" t="str">
        <f>O4</f>
        <v>ОБОРОТНЫЕ АКТИВЫ</v>
      </c>
      <c r="P16" s="37">
        <f>J31</f>
        <v>0.27329386935228944</v>
      </c>
    </row>
    <row r="17" spans="1:15" ht="15.75" thickBot="1">
      <c r="A17" s="90" t="s">
        <v>94</v>
      </c>
      <c r="B17" s="79">
        <v>12101</v>
      </c>
      <c r="C17" s="80">
        <v>1370625</v>
      </c>
      <c r="D17" s="80">
        <v>1575652</v>
      </c>
      <c r="E17" s="81">
        <v>1590363</v>
      </c>
      <c r="F17" s="82">
        <f t="shared" ref="F17" si="8">(C17-D17)</f>
        <v>-205027</v>
      </c>
      <c r="G17" s="83">
        <f t="shared" ref="G17" si="9">(D17-E17)</f>
        <v>-14711</v>
      </c>
      <c r="H17" s="84">
        <f t="shared" ref="H17:H32" si="10">F17/C17</f>
        <v>-0.14958650250797995</v>
      </c>
      <c r="I17" s="85">
        <f t="shared" ref="I17:I32" si="11">G17/D17</f>
        <v>-9.3364524653921036E-3</v>
      </c>
      <c r="J17" s="86">
        <f t="shared" ref="J17:J19" si="12">C17/C$32</f>
        <v>1.9328555763262367E-2</v>
      </c>
      <c r="K17" s="86">
        <f t="shared" ref="K17:K19" si="13">D17/D$32</f>
        <v>2.3489282101574374E-2</v>
      </c>
      <c r="L17" s="86">
        <f t="shared" ref="L17:L29" si="14">C17/C$32-D17/D$32</f>
        <v>-4.1607263383120069E-3</v>
      </c>
      <c r="M17" s="77"/>
      <c r="N17" s="77"/>
    </row>
    <row r="18" spans="1:15" ht="30.75" thickBot="1">
      <c r="A18" s="87" t="s">
        <v>81</v>
      </c>
      <c r="B18" s="79">
        <v>12102</v>
      </c>
      <c r="C18" s="80">
        <v>20337</v>
      </c>
      <c r="D18" s="80">
        <v>13892</v>
      </c>
      <c r="E18" s="81">
        <v>15366</v>
      </c>
      <c r="F18" s="82">
        <f>(C18-D18)</f>
        <v>6445</v>
      </c>
      <c r="G18" s="83">
        <f t="shared" ref="G18" si="15">(D18-E18)</f>
        <v>-1474</v>
      </c>
      <c r="H18" s="84">
        <f t="shared" si="10"/>
        <v>0.31691006539804295</v>
      </c>
      <c r="I18" s="85">
        <f t="shared" si="11"/>
        <v>-0.10610423265188598</v>
      </c>
      <c r="J18" s="86">
        <f t="shared" si="12"/>
        <v>2.8679240387229679E-4</v>
      </c>
      <c r="K18" s="86">
        <f t="shared" si="13"/>
        <v>2.0709719338729061E-4</v>
      </c>
      <c r="L18" s="86">
        <f t="shared" si="14"/>
        <v>7.9695210485006176E-5</v>
      </c>
      <c r="M18" s="77"/>
      <c r="N18" s="77"/>
    </row>
    <row r="19" spans="1:15" ht="15.75" thickBot="1">
      <c r="A19" s="87" t="s">
        <v>75</v>
      </c>
      <c r="B19" s="79">
        <v>12103</v>
      </c>
      <c r="C19" s="80">
        <v>12570</v>
      </c>
      <c r="D19" s="80">
        <v>16298</v>
      </c>
      <c r="E19" s="81">
        <v>13288</v>
      </c>
      <c r="F19" s="82">
        <f t="shared" ref="F19:F23" si="16">(C19-D19)</f>
        <v>-3728</v>
      </c>
      <c r="G19" s="83">
        <f t="shared" ref="G19:G23" si="17">(D19-E19)</f>
        <v>3010</v>
      </c>
      <c r="H19" s="84">
        <f t="shared" si="10"/>
        <v>-0.2965791567223548</v>
      </c>
      <c r="I19" s="85">
        <f t="shared" si="11"/>
        <v>0.18468523745244816</v>
      </c>
      <c r="J19" s="86">
        <f t="shared" si="12"/>
        <v>1.7726215846362641E-4</v>
      </c>
      <c r="K19" s="86">
        <f t="shared" si="13"/>
        <v>2.4296501999899672E-4</v>
      </c>
      <c r="L19" s="86">
        <f t="shared" si="14"/>
        <v>-6.5702861535370309E-5</v>
      </c>
      <c r="M19" s="77"/>
      <c r="N19" s="77"/>
    </row>
    <row r="20" spans="1:15" ht="15.75" thickBot="1">
      <c r="A20" s="87" t="s">
        <v>76</v>
      </c>
      <c r="B20" s="79">
        <v>12104</v>
      </c>
      <c r="C20" s="80"/>
      <c r="D20" s="80"/>
      <c r="E20" s="81">
        <v>990</v>
      </c>
      <c r="F20" s="82"/>
      <c r="G20" s="83"/>
      <c r="H20" s="84"/>
      <c r="I20" s="85"/>
      <c r="J20" s="86"/>
      <c r="K20" s="86"/>
      <c r="L20" s="86">
        <f t="shared" si="14"/>
        <v>0</v>
      </c>
      <c r="M20" s="77"/>
      <c r="N20" s="77"/>
    </row>
    <row r="21" spans="1:15" ht="45.75" thickBot="1">
      <c r="A21" s="91" t="s">
        <v>20</v>
      </c>
      <c r="B21" s="79">
        <v>1220</v>
      </c>
      <c r="C21" s="80">
        <v>17481</v>
      </c>
      <c r="D21" s="80">
        <v>24550</v>
      </c>
      <c r="E21" s="81">
        <v>20913</v>
      </c>
      <c r="F21" s="82">
        <f t="shared" si="16"/>
        <v>-7069</v>
      </c>
      <c r="G21" s="83">
        <f t="shared" si="17"/>
        <v>3637</v>
      </c>
      <c r="H21" s="84">
        <f t="shared" si="10"/>
        <v>-0.40438190034895027</v>
      </c>
      <c r="I21" s="85">
        <f t="shared" si="11"/>
        <v>0.14814663951120163</v>
      </c>
      <c r="J21" s="86">
        <f t="shared" ref="J21:J32" si="18">C21/C$32</f>
        <v>2.4651708767721984E-4</v>
      </c>
      <c r="K21" s="86">
        <f t="shared" ref="K21:K32" si="19">D21/D$32</f>
        <v>3.6598301883515583E-4</v>
      </c>
      <c r="L21" s="86">
        <f t="shared" si="14"/>
        <v>-1.1946593115793599E-4</v>
      </c>
      <c r="M21" s="77"/>
      <c r="N21" s="77"/>
    </row>
    <row r="22" spans="1:15" ht="30.75" thickBot="1">
      <c r="A22" s="78" t="s">
        <v>21</v>
      </c>
      <c r="B22" s="79">
        <v>1230</v>
      </c>
      <c r="C22" s="80">
        <v>17355150</v>
      </c>
      <c r="D22" s="80">
        <v>18424330</v>
      </c>
      <c r="E22" s="81">
        <v>14739930</v>
      </c>
      <c r="F22" s="82">
        <f t="shared" si="16"/>
        <v>-1069180</v>
      </c>
      <c r="G22" s="83">
        <f t="shared" si="17"/>
        <v>3684400</v>
      </c>
      <c r="H22" s="84">
        <f t="shared" si="10"/>
        <v>-6.160592100903766E-2</v>
      </c>
      <c r="I22" s="85">
        <f t="shared" si="11"/>
        <v>0.19997470735706535</v>
      </c>
      <c r="J22" s="86">
        <f t="shared" si="18"/>
        <v>0.24474235079236326</v>
      </c>
      <c r="K22" s="86">
        <f t="shared" si="19"/>
        <v>0.2746636217277037</v>
      </c>
      <c r="L22" s="86">
        <f>C22/C$32-D22/D$32</f>
        <v>-2.9921270935340444E-2</v>
      </c>
      <c r="M22" s="77">
        <f>D22/D$32</f>
        <v>0.2746636217277037</v>
      </c>
      <c r="N22" s="77">
        <f>L22-M22</f>
        <v>-0.30458489266304412</v>
      </c>
      <c r="O22" s="89"/>
    </row>
    <row r="23" spans="1:15" ht="75.75" thickBot="1">
      <c r="A23" s="91" t="s">
        <v>22</v>
      </c>
      <c r="B23" s="79">
        <v>12301</v>
      </c>
      <c r="C23" s="80">
        <v>26595</v>
      </c>
      <c r="D23" s="80">
        <v>47727</v>
      </c>
      <c r="E23" s="81">
        <v>68829</v>
      </c>
      <c r="F23" s="82">
        <f t="shared" si="16"/>
        <v>-21132</v>
      </c>
      <c r="G23" s="83">
        <f t="shared" si="17"/>
        <v>-21102</v>
      </c>
      <c r="H23" s="84">
        <f t="shared" si="10"/>
        <v>-0.79458544839255496</v>
      </c>
      <c r="I23" s="85">
        <f t="shared" si="11"/>
        <v>-0.44213966936953925</v>
      </c>
      <c r="J23" s="86">
        <f t="shared" si="18"/>
        <v>3.7504272906445065E-4</v>
      </c>
      <c r="K23" s="86">
        <f t="shared" si="19"/>
        <v>7.1149782240103796E-4</v>
      </c>
      <c r="L23" s="86">
        <f t="shared" si="14"/>
        <v>-3.3645509333658731E-4</v>
      </c>
      <c r="M23" s="77"/>
      <c r="N23" s="77"/>
    </row>
    <row r="24" spans="1:15" ht="60.75" thickBot="1">
      <c r="A24" s="91" t="s">
        <v>23</v>
      </c>
      <c r="B24" s="79">
        <v>12302</v>
      </c>
      <c r="C24" s="80">
        <v>17328555</v>
      </c>
      <c r="D24" s="80">
        <v>18376603</v>
      </c>
      <c r="E24" s="81">
        <v>14671101</v>
      </c>
      <c r="F24" s="82">
        <f t="shared" ref="F24:F32" si="20">(C24-D24)</f>
        <v>-1048048</v>
      </c>
      <c r="G24" s="83">
        <f t="shared" ref="G24:G32" si="21">(D24-E24)</f>
        <v>3705502</v>
      </c>
      <c r="H24" s="84">
        <f t="shared" si="10"/>
        <v>-6.0480980670344409E-2</v>
      </c>
      <c r="I24" s="85">
        <f t="shared" si="11"/>
        <v>0.20164238189180014</v>
      </c>
      <c r="J24" s="86">
        <f t="shared" si="18"/>
        <v>0.24436730806329882</v>
      </c>
      <c r="K24" s="86">
        <f t="shared" si="19"/>
        <v>0.27395212390530266</v>
      </c>
      <c r="L24" s="86">
        <f t="shared" si="14"/>
        <v>-2.9584815842003842E-2</v>
      </c>
      <c r="M24" s="77"/>
      <c r="N24" s="77"/>
    </row>
    <row r="25" spans="1:15" ht="45.75" thickBot="1">
      <c r="A25" s="87" t="s">
        <v>24</v>
      </c>
      <c r="B25" s="79">
        <v>12303</v>
      </c>
      <c r="C25" s="80">
        <v>11476422</v>
      </c>
      <c r="D25" s="80">
        <v>13836438</v>
      </c>
      <c r="E25" s="81">
        <v>10199439</v>
      </c>
      <c r="F25" s="82">
        <f t="shared" si="20"/>
        <v>-2360016</v>
      </c>
      <c r="G25" s="83">
        <f t="shared" si="21"/>
        <v>3636999</v>
      </c>
      <c r="H25" s="84">
        <f t="shared" si="10"/>
        <v>-0.20564039907211498</v>
      </c>
      <c r="I25" s="85">
        <f t="shared" si="11"/>
        <v>0.26285659647374565</v>
      </c>
      <c r="J25" s="86">
        <f t="shared" si="18"/>
        <v>0.16184051990130854</v>
      </c>
      <c r="K25" s="86">
        <f t="shared" si="19"/>
        <v>0.20626889405969309</v>
      </c>
      <c r="L25" s="86">
        <f t="shared" si="14"/>
        <v>-4.4428374158384548E-2</v>
      </c>
      <c r="M25" s="77"/>
      <c r="N25" s="77"/>
    </row>
    <row r="26" spans="1:15" ht="15.75" thickBot="1">
      <c r="A26" s="90" t="s">
        <v>25</v>
      </c>
      <c r="B26" s="79">
        <v>12304</v>
      </c>
      <c r="C26" s="80">
        <v>915431</v>
      </c>
      <c r="D26" s="80">
        <v>832630</v>
      </c>
      <c r="E26" s="81">
        <v>987297</v>
      </c>
      <c r="F26" s="82">
        <f t="shared" si="20"/>
        <v>82801</v>
      </c>
      <c r="G26" s="83">
        <f t="shared" si="21"/>
        <v>-154667</v>
      </c>
      <c r="H26" s="84">
        <f t="shared" si="10"/>
        <v>9.0450290628130356E-2</v>
      </c>
      <c r="I26" s="85">
        <f t="shared" si="11"/>
        <v>-0.18575717905912589</v>
      </c>
      <c r="J26" s="86">
        <f t="shared" si="18"/>
        <v>1.2909409306644073E-2</v>
      </c>
      <c r="K26" s="86">
        <f t="shared" si="19"/>
        <v>1.2412563787076E-2</v>
      </c>
      <c r="L26" s="86">
        <f t="shared" si="14"/>
        <v>4.9684551956807356E-4</v>
      </c>
      <c r="M26" s="77"/>
      <c r="N26" s="77"/>
    </row>
    <row r="27" spans="1:15" ht="15.75" thickBot="1">
      <c r="A27" s="90" t="s">
        <v>74</v>
      </c>
      <c r="B27" s="79">
        <v>12305</v>
      </c>
      <c r="C27" s="80">
        <v>4936702</v>
      </c>
      <c r="D27" s="80">
        <v>3707535</v>
      </c>
      <c r="E27" s="81">
        <v>3484365</v>
      </c>
      <c r="F27" s="82">
        <f t="shared" si="20"/>
        <v>1229167</v>
      </c>
      <c r="G27" s="83">
        <f t="shared" si="21"/>
        <v>223170</v>
      </c>
      <c r="H27" s="84">
        <f t="shared" si="10"/>
        <v>0.24898545628235205</v>
      </c>
      <c r="I27" s="85">
        <f t="shared" si="11"/>
        <v>6.0193632696656944E-2</v>
      </c>
      <c r="J27" s="86">
        <f t="shared" si="18"/>
        <v>6.9617378855346176E-2</v>
      </c>
      <c r="K27" s="86">
        <f t="shared" si="19"/>
        <v>5.5270666058533577E-2</v>
      </c>
      <c r="L27" s="86">
        <f t="shared" si="14"/>
        <v>1.43467127968126E-2</v>
      </c>
      <c r="M27" s="77"/>
      <c r="N27" s="77"/>
    </row>
    <row r="28" spans="1:15" ht="45.75" thickBot="1">
      <c r="A28" s="91" t="s">
        <v>26</v>
      </c>
      <c r="B28" s="79">
        <v>1240</v>
      </c>
      <c r="C28" s="80">
        <v>34830</v>
      </c>
      <c r="D28" s="80">
        <v>34830</v>
      </c>
      <c r="E28" s="81">
        <v>34830</v>
      </c>
      <c r="F28" s="82">
        <f t="shared" si="20"/>
        <v>0</v>
      </c>
      <c r="G28" s="83">
        <f t="shared" si="21"/>
        <v>0</v>
      </c>
      <c r="H28" s="84">
        <f t="shared" si="10"/>
        <v>0</v>
      </c>
      <c r="I28" s="85">
        <f t="shared" si="11"/>
        <v>0</v>
      </c>
      <c r="J28" s="86">
        <f t="shared" si="18"/>
        <v>4.9117271116054962E-4</v>
      </c>
      <c r="K28" s="86">
        <f t="shared" si="19"/>
        <v>5.1923374932906215E-4</v>
      </c>
      <c r="L28" s="86">
        <f t="shared" si="14"/>
        <v>-2.8061038168512528E-5</v>
      </c>
      <c r="M28" s="77"/>
      <c r="N28" s="77"/>
    </row>
    <row r="29" spans="1:15" ht="30.75" thickBot="1">
      <c r="A29" s="78" t="s">
        <v>125</v>
      </c>
      <c r="B29" s="79">
        <v>1250</v>
      </c>
      <c r="C29" s="80">
        <v>510267</v>
      </c>
      <c r="D29" s="80">
        <v>581895</v>
      </c>
      <c r="E29" s="81">
        <v>472488</v>
      </c>
      <c r="F29" s="82">
        <f t="shared" si="20"/>
        <v>-71628</v>
      </c>
      <c r="G29" s="83">
        <f t="shared" si="21"/>
        <v>109407</v>
      </c>
      <c r="H29" s="84">
        <f t="shared" si="10"/>
        <v>-0.14037356913145471</v>
      </c>
      <c r="I29" s="85">
        <f t="shared" si="11"/>
        <v>0.1880184569381074</v>
      </c>
      <c r="J29" s="86">
        <f t="shared" si="18"/>
        <v>7.1957859835130684E-3</v>
      </c>
      <c r="K29" s="86">
        <f t="shared" si="19"/>
        <v>8.6746920059096941E-3</v>
      </c>
      <c r="L29" s="86">
        <f t="shared" si="14"/>
        <v>-1.4789060223966257E-3</v>
      </c>
      <c r="M29" s="77"/>
      <c r="N29" s="77"/>
    </row>
    <row r="30" spans="1:15" ht="15.75" thickBot="1">
      <c r="A30" s="78" t="s">
        <v>27</v>
      </c>
      <c r="B30" s="79">
        <v>1260</v>
      </c>
      <c r="C30" s="80">
        <v>58533</v>
      </c>
      <c r="D30" s="80">
        <v>55901</v>
      </c>
      <c r="E30" s="81">
        <v>51985</v>
      </c>
      <c r="F30" s="82">
        <f t="shared" si="20"/>
        <v>2632</v>
      </c>
      <c r="G30" s="83">
        <f t="shared" si="21"/>
        <v>3916</v>
      </c>
      <c r="H30" s="84">
        <f t="shared" si="10"/>
        <v>4.4966087506193089E-2</v>
      </c>
      <c r="I30" s="85">
        <f t="shared" si="11"/>
        <v>7.0052414089193396E-2</v>
      </c>
      <c r="J30" s="86">
        <f t="shared" si="18"/>
        <v>8.2543245197704419E-4</v>
      </c>
      <c r="K30" s="86">
        <f t="shared" si="19"/>
        <v>8.3335302386574521E-4</v>
      </c>
      <c r="L30" s="86">
        <f>C30/C$32-D30/D$32</f>
        <v>-7.9205718887010194E-6</v>
      </c>
      <c r="M30" s="77">
        <f>D30/D$32</f>
        <v>8.3335302386574521E-4</v>
      </c>
      <c r="N30" s="77">
        <f t="shared" ref="N30:N31" si="22">L30-M30</f>
        <v>-8.4127359575444623E-4</v>
      </c>
      <c r="O30" s="89"/>
    </row>
    <row r="31" spans="1:15" ht="15.75" thickBot="1">
      <c r="A31" s="88" t="s">
        <v>28</v>
      </c>
      <c r="B31" s="79">
        <v>1200</v>
      </c>
      <c r="C31" s="80">
        <v>19379793</v>
      </c>
      <c r="D31" s="80">
        <v>20727348</v>
      </c>
      <c r="E31" s="81">
        <v>16940153</v>
      </c>
      <c r="F31" s="82">
        <f t="shared" si="20"/>
        <v>-1347555</v>
      </c>
      <c r="G31" s="83">
        <f t="shared" si="21"/>
        <v>3787195</v>
      </c>
      <c r="H31" s="84">
        <f t="shared" si="10"/>
        <v>-6.9534024434626321E-2</v>
      </c>
      <c r="I31" s="85">
        <f t="shared" si="11"/>
        <v>0.18271488470208538</v>
      </c>
      <c r="J31" s="86">
        <f t="shared" si="18"/>
        <v>0.27329386935228944</v>
      </c>
      <c r="K31" s="86">
        <f t="shared" si="19"/>
        <v>0.30899622784060404</v>
      </c>
      <c r="L31" s="86">
        <f>C31/C$32-D31/D$32</f>
        <v>-3.5702358488314601E-2</v>
      </c>
      <c r="M31" s="77">
        <f>D31/D$32</f>
        <v>0.30899622784060404</v>
      </c>
      <c r="N31" s="77">
        <f t="shared" si="22"/>
        <v>-0.34469858632891864</v>
      </c>
      <c r="O31" s="89"/>
    </row>
    <row r="32" spans="1:15" ht="15.75" thickBot="1">
      <c r="A32" s="78" t="s">
        <v>29</v>
      </c>
      <c r="B32" s="79">
        <v>1600</v>
      </c>
      <c r="C32" s="80">
        <v>70911920</v>
      </c>
      <c r="D32" s="80">
        <v>67079615</v>
      </c>
      <c r="E32" s="81">
        <v>61390231</v>
      </c>
      <c r="F32" s="92">
        <f t="shared" si="20"/>
        <v>3832305</v>
      </c>
      <c r="G32" s="93">
        <f t="shared" si="21"/>
        <v>5689384</v>
      </c>
      <c r="H32" s="94">
        <f t="shared" si="10"/>
        <v>5.4043170739136663E-2</v>
      </c>
      <c r="I32" s="95">
        <f t="shared" si="11"/>
        <v>8.4815394363846608E-2</v>
      </c>
      <c r="J32" s="86">
        <f t="shared" si="18"/>
        <v>1</v>
      </c>
      <c r="K32" s="86">
        <f t="shared" si="19"/>
        <v>1</v>
      </c>
      <c r="L32" s="86"/>
      <c r="M32" s="96"/>
      <c r="N32" s="96"/>
    </row>
    <row r="34" spans="1:16" ht="24.75" customHeight="1">
      <c r="A34" s="146" t="s">
        <v>146</v>
      </c>
      <c r="B34" s="146"/>
      <c r="C34" s="97"/>
      <c r="D34" s="97"/>
      <c r="E34" s="97"/>
      <c r="F34" s="35"/>
      <c r="G34" s="35"/>
    </row>
    <row r="35" spans="1:16">
      <c r="A35" s="147" t="s">
        <v>95</v>
      </c>
      <c r="B35" s="150">
        <v>2017</v>
      </c>
      <c r="C35" s="147">
        <v>2016</v>
      </c>
      <c r="D35" s="150">
        <v>2015</v>
      </c>
      <c r="E35" s="153" t="s">
        <v>98</v>
      </c>
      <c r="F35" s="153"/>
      <c r="G35" s="154" t="s">
        <v>99</v>
      </c>
      <c r="H35" s="155"/>
    </row>
    <row r="36" spans="1:16">
      <c r="A36" s="148"/>
      <c r="B36" s="151"/>
      <c r="C36" s="148"/>
      <c r="D36" s="151"/>
      <c r="E36" s="140" t="s">
        <v>126</v>
      </c>
      <c r="F36" s="137" t="s">
        <v>127</v>
      </c>
      <c r="G36" s="140" t="s">
        <v>126</v>
      </c>
      <c r="H36" s="137" t="s">
        <v>127</v>
      </c>
    </row>
    <row r="37" spans="1:16">
      <c r="A37" s="148"/>
      <c r="B37" s="151"/>
      <c r="C37" s="148"/>
      <c r="D37" s="151"/>
      <c r="E37" s="141"/>
      <c r="F37" s="138"/>
      <c r="G37" s="141"/>
      <c r="H37" s="138"/>
      <c r="M37" s="39"/>
    </row>
    <row r="38" spans="1:16" ht="4.5" customHeight="1">
      <c r="A38" s="149"/>
      <c r="B38" s="152"/>
      <c r="C38" s="149"/>
      <c r="D38" s="152"/>
      <c r="E38" s="142"/>
      <c r="F38" s="139"/>
      <c r="G38" s="142"/>
      <c r="H38" s="139"/>
    </row>
    <row r="39" spans="1:16" ht="30">
      <c r="A39" s="98" t="s">
        <v>121</v>
      </c>
      <c r="B39" s="99">
        <f>C31/(пассив!C27-пассив!C24)</f>
        <v>1.0432438900945358</v>
      </c>
      <c r="C39" s="99">
        <f>D31/(пассив!D27-пассив!D24)</f>
        <v>1.0014663478507198</v>
      </c>
      <c r="D39" s="99">
        <f>E31/(пассив!E27-пассив!E24)</f>
        <v>0.95182842116015709</v>
      </c>
      <c r="E39" s="100">
        <f>B39-C39</f>
        <v>4.1777542243816024E-2</v>
      </c>
      <c r="F39" s="100">
        <f>C39-D39</f>
        <v>4.9637926690562661E-2</v>
      </c>
      <c r="G39" s="101">
        <f>E39/B39*100</f>
        <v>4.0045805818263895</v>
      </c>
      <c r="H39" s="101">
        <f>F39/C39*100</f>
        <v>4.9565246797450824</v>
      </c>
      <c r="I39" s="38"/>
      <c r="J39" s="38"/>
      <c r="K39" s="38"/>
      <c r="L39" s="39"/>
      <c r="M39" s="39"/>
      <c r="N39" s="39"/>
      <c r="O39" s="39"/>
      <c r="P39" s="39"/>
    </row>
    <row r="40" spans="1:16" ht="30">
      <c r="A40" s="98" t="s">
        <v>122</v>
      </c>
      <c r="B40" s="99">
        <f>(C22+C28+C29)/(пассив!C16+пассив!C26+пассив!C17)</f>
        <v>0.97724630749302277</v>
      </c>
      <c r="C40" s="99">
        <f>(D22+D28+D29)/(пассив!D16+пассив!D26+пассив!D17)</f>
        <v>0.93074861232533235</v>
      </c>
      <c r="D40" s="99">
        <f>(E22+E28+E29)/(пассив!E16+пассив!E26+пассив!E17)</f>
        <v>0.86729947915096472</v>
      </c>
      <c r="E40" s="100">
        <f t="shared" ref="E40:F42" si="23">B40-C40</f>
        <v>4.6497695167690423E-2</v>
      </c>
      <c r="F40" s="100">
        <f t="shared" si="23"/>
        <v>6.3449133174367622E-2</v>
      </c>
      <c r="G40" s="101">
        <f t="shared" ref="G40:G42" si="24">E40/B40*100</f>
        <v>4.7580323211425792</v>
      </c>
      <c r="H40" s="101">
        <f t="shared" ref="H40:H42" si="25">F40/C40*100</f>
        <v>6.8170000292398738</v>
      </c>
      <c r="I40" s="38"/>
      <c r="J40" s="38"/>
      <c r="K40" s="38"/>
      <c r="L40" s="39"/>
      <c r="M40" s="39"/>
      <c r="N40" s="39"/>
      <c r="O40" s="39"/>
      <c r="P40" s="39"/>
    </row>
    <row r="41" spans="1:16" ht="30">
      <c r="A41" s="98" t="s">
        <v>123</v>
      </c>
      <c r="B41" s="99">
        <f>(C29+C28)/SUM(пассив!C16:C17,пассив!C26)</f>
        <v>2.9759032401928544E-2</v>
      </c>
      <c r="C41" s="99">
        <f>(D29+D28)/SUM(пассив!D16:D17,пассив!D26)</f>
        <v>3.0146225507795686E-2</v>
      </c>
      <c r="D41" s="99">
        <f>(E29+E28)/SUM(пассив!E16:E17,пассив!E26)</f>
        <v>2.8857446088888246E-2</v>
      </c>
      <c r="E41" s="100">
        <f t="shared" si="23"/>
        <v>-3.871931058671424E-4</v>
      </c>
      <c r="F41" s="100">
        <f t="shared" si="23"/>
        <v>1.2887794189074403E-3</v>
      </c>
      <c r="G41" s="101">
        <f t="shared" si="24"/>
        <v>-1.3010944060199021</v>
      </c>
      <c r="H41" s="101">
        <f t="shared" si="25"/>
        <v>4.2750938042779758</v>
      </c>
      <c r="I41" s="38"/>
      <c r="J41" s="38"/>
      <c r="K41" s="38"/>
      <c r="L41" s="39"/>
      <c r="M41" s="39"/>
      <c r="N41" s="39"/>
      <c r="O41" s="39"/>
      <c r="P41" s="39"/>
    </row>
    <row r="42" spans="1:16" ht="45">
      <c r="A42" s="98" t="s">
        <v>124</v>
      </c>
      <c r="B42" s="99">
        <f>C22/пассив!C17</f>
        <v>1.8721721464400287</v>
      </c>
      <c r="C42" s="99">
        <f>D22/пассив!D17</f>
        <v>1.6776678939963074</v>
      </c>
      <c r="D42" s="99">
        <f>E22/пассив!E17</f>
        <v>1.3712696798832946</v>
      </c>
      <c r="E42" s="100">
        <f t="shared" si="23"/>
        <v>0.19450425244372127</v>
      </c>
      <c r="F42" s="100">
        <f t="shared" si="23"/>
        <v>0.30639821411301282</v>
      </c>
      <c r="G42" s="101">
        <f t="shared" si="24"/>
        <v>10.38922904678263</v>
      </c>
      <c r="H42" s="101">
        <f t="shared" si="25"/>
        <v>18.263341344820848</v>
      </c>
      <c r="I42" s="38"/>
      <c r="J42" s="38"/>
      <c r="K42" s="38"/>
      <c r="L42" s="39"/>
      <c r="M42" s="39"/>
      <c r="N42" s="39"/>
      <c r="O42" s="39"/>
      <c r="P42" s="39"/>
    </row>
    <row r="45" spans="1:16">
      <c r="E45" s="35"/>
    </row>
    <row r="46" spans="1:16">
      <c r="E46" s="35"/>
    </row>
    <row r="47" spans="1:16">
      <c r="E47" s="103"/>
    </row>
    <row r="48" spans="1:16">
      <c r="A48" s="104"/>
      <c r="E48" s="35"/>
    </row>
    <row r="49" spans="5:5">
      <c r="E49" s="35"/>
    </row>
  </sheetData>
  <mergeCells count="33">
    <mergeCell ref="G36:G38"/>
    <mergeCell ref="I2:I4"/>
    <mergeCell ref="H36:H38"/>
    <mergeCell ref="A34:B34"/>
    <mergeCell ref="L15:L16"/>
    <mergeCell ref="A35:A38"/>
    <mergeCell ref="B35:B38"/>
    <mergeCell ref="C35:C38"/>
    <mergeCell ref="D35:D38"/>
    <mergeCell ref="E35:F35"/>
    <mergeCell ref="G35:H35"/>
    <mergeCell ref="F15:F16"/>
    <mergeCell ref="G15:G16"/>
    <mergeCell ref="H15:H16"/>
    <mergeCell ref="I15:I16"/>
    <mergeCell ref="E36:E38"/>
    <mergeCell ref="F36:F38"/>
    <mergeCell ref="B15:B16"/>
    <mergeCell ref="C15:C16"/>
    <mergeCell ref="D15:D16"/>
    <mergeCell ref="E15:E16"/>
    <mergeCell ref="L2:L4"/>
    <mergeCell ref="B2:B4"/>
    <mergeCell ref="C2:C4"/>
    <mergeCell ref="D2:D4"/>
    <mergeCell ref="E2:E4"/>
    <mergeCell ref="J2:J4"/>
    <mergeCell ref="K2:K4"/>
    <mergeCell ref="J15:J16"/>
    <mergeCell ref="K15:K16"/>
    <mergeCell ref="F2:F4"/>
    <mergeCell ref="G2:G4"/>
    <mergeCell ref="H2:H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workbookViewId="0">
      <pane ySplit="1" topLeftCell="A15" activePane="bottomLeft" state="frozen"/>
      <selection pane="bottomLeft" activeCell="A59" sqref="A59:E73"/>
    </sheetView>
  </sheetViews>
  <sheetFormatPr defaultRowHeight="12.75" outlineLevelCol="1"/>
  <cols>
    <col min="1" max="1" width="44.140625" style="42" customWidth="1"/>
    <col min="2" max="2" width="14.85546875" style="42" bestFit="1" customWidth="1"/>
    <col min="3" max="4" width="15.140625" style="42" customWidth="1"/>
    <col min="5" max="5" width="17.7109375" style="42" customWidth="1"/>
    <col min="6" max="9" width="15.85546875" style="42" customWidth="1" outlineLevel="1"/>
    <col min="10" max="12" width="15.85546875" style="42" customWidth="1"/>
    <col min="13" max="14" width="9.140625" style="42"/>
    <col min="15" max="15" width="9.85546875" style="42" bestFit="1" customWidth="1"/>
    <col min="16" max="17" width="11.140625" style="42" customWidth="1"/>
    <col min="18" max="16384" width="9.140625" style="42"/>
  </cols>
  <sheetData>
    <row r="1" spans="1:17" ht="59.25" customHeight="1" thickTop="1" thickBot="1">
      <c r="A1" s="20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40" t="s">
        <v>77</v>
      </c>
      <c r="G1" s="40" t="s">
        <v>78</v>
      </c>
      <c r="H1" s="40" t="s">
        <v>79</v>
      </c>
      <c r="I1" s="40" t="s">
        <v>79</v>
      </c>
      <c r="J1" s="41" t="s">
        <v>93</v>
      </c>
      <c r="K1" s="41" t="s">
        <v>92</v>
      </c>
      <c r="L1" s="40" t="s">
        <v>86</v>
      </c>
      <c r="O1" s="42" t="str">
        <f>C1</f>
        <v>На 31 декабря 2017 г.</v>
      </c>
      <c r="P1" s="42" t="str">
        <f t="shared" ref="P1:Q1" si="0">D1</f>
        <v>На 31 декабря 2016 г.</v>
      </c>
      <c r="Q1" s="42" t="str">
        <f t="shared" si="0"/>
        <v>На 31 декабря 2015 г.</v>
      </c>
    </row>
    <row r="2" spans="1:17" ht="15.75" customHeight="1">
      <c r="A2" s="43" t="s">
        <v>30</v>
      </c>
      <c r="B2" s="156">
        <v>1310</v>
      </c>
      <c r="C2" s="158">
        <v>7491516</v>
      </c>
      <c r="D2" s="158">
        <v>7491516</v>
      </c>
      <c r="E2" s="160">
        <v>7491516</v>
      </c>
      <c r="F2" s="162">
        <f>C2-D2</f>
        <v>0</v>
      </c>
      <c r="G2" s="162">
        <f>D2-E2</f>
        <v>0</v>
      </c>
      <c r="H2" s="164">
        <f>F2/C2</f>
        <v>0</v>
      </c>
      <c r="I2" s="164">
        <f>G2/D2</f>
        <v>0</v>
      </c>
      <c r="J2" s="166">
        <f>C2/C$28</f>
        <v>0.1056453696360217</v>
      </c>
      <c r="K2" s="166">
        <f>D2/D$28</f>
        <v>0.1116809629870416</v>
      </c>
      <c r="L2" s="166">
        <f>C2/$C$28-D2/$D$28</f>
        <v>-6.0355933510198995E-3</v>
      </c>
      <c r="N2" s="42" t="s">
        <v>88</v>
      </c>
      <c r="O2" s="44">
        <f>C9</f>
        <v>49312701</v>
      </c>
      <c r="P2" s="44">
        <f t="shared" ref="P2:Q2" si="1">D9</f>
        <v>42043116</v>
      </c>
      <c r="Q2" s="44">
        <f t="shared" si="1"/>
        <v>37895029</v>
      </c>
    </row>
    <row r="3" spans="1:17" ht="39" thickBot="1">
      <c r="A3" s="23" t="s">
        <v>82</v>
      </c>
      <c r="B3" s="157"/>
      <c r="C3" s="159"/>
      <c r="D3" s="159"/>
      <c r="E3" s="161"/>
      <c r="F3" s="163"/>
      <c r="G3" s="163"/>
      <c r="H3" s="165"/>
      <c r="I3" s="165"/>
      <c r="J3" s="167"/>
      <c r="K3" s="167"/>
      <c r="L3" s="167"/>
      <c r="M3" s="45"/>
      <c r="N3" s="42" t="s">
        <v>89</v>
      </c>
      <c r="O3" s="44">
        <f>C15</f>
        <v>376376</v>
      </c>
      <c r="P3" s="44">
        <f t="shared" ref="P3:Q3" si="2">D15</f>
        <v>649071</v>
      </c>
      <c r="Q3" s="44">
        <f t="shared" si="2"/>
        <v>792137</v>
      </c>
    </row>
    <row r="4" spans="1:17" ht="13.5" thickBot="1">
      <c r="A4" s="23" t="s">
        <v>31</v>
      </c>
      <c r="B4" s="24">
        <v>1320</v>
      </c>
      <c r="C4" s="24"/>
      <c r="D4" s="24"/>
      <c r="E4" s="46"/>
      <c r="F4" s="47"/>
      <c r="G4" s="47"/>
      <c r="H4" s="47"/>
      <c r="I4" s="47"/>
      <c r="J4" s="48"/>
      <c r="K4" s="48"/>
      <c r="L4" s="48"/>
      <c r="N4" s="42" t="s">
        <v>90</v>
      </c>
      <c r="O4" s="44">
        <f>C27</f>
        <v>21222843</v>
      </c>
      <c r="P4" s="44">
        <f t="shared" ref="P4:Q4" si="3">D27</f>
        <v>24387428</v>
      </c>
      <c r="Q4" s="44">
        <f t="shared" si="3"/>
        <v>22703065</v>
      </c>
    </row>
    <row r="5" spans="1:17" ht="13.5" thickBot="1">
      <c r="A5" s="23" t="s">
        <v>32</v>
      </c>
      <c r="B5" s="24">
        <v>1340</v>
      </c>
      <c r="C5" s="25">
        <v>2723277</v>
      </c>
      <c r="D5" s="25">
        <v>2794011</v>
      </c>
      <c r="E5" s="26">
        <v>2882080</v>
      </c>
      <c r="F5" s="49">
        <f>C5-D5</f>
        <v>-70734</v>
      </c>
      <c r="G5" s="49">
        <f>D5-E5</f>
        <v>-88069</v>
      </c>
      <c r="H5" s="50">
        <f t="shared" ref="H5:H6" si="4">F5/C5</f>
        <v>-2.597385429392603E-2</v>
      </c>
      <c r="I5" s="50">
        <f t="shared" ref="I5:I6" si="5">G5/D5</f>
        <v>-3.1520634671803369E-2</v>
      </c>
      <c r="J5" s="51">
        <f>C5/C$28</f>
        <v>3.8403656254124834E-2</v>
      </c>
      <c r="K5" s="51">
        <f>D5/D$28</f>
        <v>4.1652162135993175E-2</v>
      </c>
      <c r="L5" s="51">
        <f t="shared" ref="L5:L6" si="6">C5/$C$28-D5/$D$28</f>
        <v>-3.248505881868341E-3</v>
      </c>
    </row>
    <row r="6" spans="1:17" ht="13.5" thickBot="1">
      <c r="A6" s="23" t="s">
        <v>33</v>
      </c>
      <c r="B6" s="24">
        <v>1350</v>
      </c>
      <c r="C6" s="25">
        <v>33456467</v>
      </c>
      <c r="D6" s="25">
        <v>26460411</v>
      </c>
      <c r="E6" s="26">
        <v>22564174</v>
      </c>
      <c r="F6" s="49">
        <f>C6-D6</f>
        <v>6996056</v>
      </c>
      <c r="G6" s="49">
        <f>D6-E6</f>
        <v>3896237</v>
      </c>
      <c r="H6" s="50">
        <f t="shared" si="4"/>
        <v>0.20910922841912746</v>
      </c>
      <c r="I6" s="50">
        <f t="shared" si="5"/>
        <v>0.14724778840358904</v>
      </c>
      <c r="J6" s="51">
        <f>C6/C$28</f>
        <v>0.47180314677701579</v>
      </c>
      <c r="K6" s="51">
        <f>D6/D$28</f>
        <v>0.39446277382480505</v>
      </c>
      <c r="L6" s="51">
        <f t="shared" si="6"/>
        <v>7.7340372952210745E-2</v>
      </c>
    </row>
    <row r="7" spans="1:17" ht="13.5" thickBot="1">
      <c r="A7" s="23" t="s">
        <v>91</v>
      </c>
      <c r="B7" s="24">
        <v>1360</v>
      </c>
      <c r="C7" s="24"/>
      <c r="D7" s="24"/>
      <c r="E7" s="46"/>
      <c r="F7" s="47"/>
      <c r="G7" s="47"/>
      <c r="H7" s="47"/>
      <c r="I7" s="47"/>
      <c r="J7" s="48"/>
      <c r="K7" s="48"/>
      <c r="L7" s="48"/>
    </row>
    <row r="8" spans="1:17" ht="13.5" thickBot="1">
      <c r="A8" s="27" t="s">
        <v>34</v>
      </c>
      <c r="B8" s="24">
        <v>1370</v>
      </c>
      <c r="C8" s="25">
        <v>5641441</v>
      </c>
      <c r="D8" s="25">
        <v>5297178</v>
      </c>
      <c r="E8" s="26">
        <v>4957259</v>
      </c>
      <c r="F8" s="49">
        <f t="shared" ref="F8:F9" si="7">C8-D8</f>
        <v>344263</v>
      </c>
      <c r="G8" s="49">
        <f t="shared" ref="G8:G9" si="8">D8-E8</f>
        <v>339919</v>
      </c>
      <c r="H8" s="50">
        <f>F8/C8</f>
        <v>6.102394760487613E-2</v>
      </c>
      <c r="I8" s="50">
        <f>G8/D8</f>
        <v>6.4169827783774683E-2</v>
      </c>
      <c r="J8" s="51">
        <f t="shared" ref="J8:J9" si="9">C8/C$28</f>
        <v>7.9555609268512267E-2</v>
      </c>
      <c r="K8" s="51">
        <f t="shared" ref="K8:K9" si="10">D8/D$28</f>
        <v>7.8968521211697479E-2</v>
      </c>
      <c r="L8" s="51">
        <f>C8/$C$28-D8/$D$28</f>
        <v>5.8708805681478848E-4</v>
      </c>
    </row>
    <row r="9" spans="1:17" ht="13.5" thickBot="1">
      <c r="A9" s="52" t="s">
        <v>35</v>
      </c>
      <c r="B9" s="24">
        <v>1300</v>
      </c>
      <c r="C9" s="25">
        <v>49312701</v>
      </c>
      <c r="D9" s="25">
        <v>42043116</v>
      </c>
      <c r="E9" s="26">
        <v>37895029</v>
      </c>
      <c r="F9" s="49">
        <f t="shared" si="7"/>
        <v>7269585</v>
      </c>
      <c r="G9" s="49">
        <f t="shared" si="8"/>
        <v>4148087</v>
      </c>
      <c r="H9" s="50">
        <f>F9/C9</f>
        <v>0.14741810634140684</v>
      </c>
      <c r="I9" s="50">
        <f>G9/D9</f>
        <v>9.8662691889916054E-2</v>
      </c>
      <c r="J9" s="51">
        <f t="shared" si="9"/>
        <v>0.69540778193567454</v>
      </c>
      <c r="K9" s="51">
        <f t="shared" si="10"/>
        <v>0.62676442015953726</v>
      </c>
      <c r="L9" s="51">
        <f>C9/$C$28-D9/$D$28</f>
        <v>6.8643361776137279E-2</v>
      </c>
    </row>
    <row r="10" spans="1:17" ht="15.75" customHeight="1">
      <c r="A10" s="28" t="s">
        <v>87</v>
      </c>
      <c r="B10" s="156">
        <v>1410</v>
      </c>
      <c r="C10" s="156"/>
      <c r="D10" s="158">
        <v>250244</v>
      </c>
      <c r="E10" s="160">
        <v>498390</v>
      </c>
      <c r="F10" s="162">
        <f>C11-D11</f>
        <v>0</v>
      </c>
      <c r="G10" s="162">
        <f>D11-E11</f>
        <v>0</v>
      </c>
      <c r="H10" s="164" t="str">
        <f>IFERROR(F10/C10,"")</f>
        <v/>
      </c>
      <c r="I10" s="164">
        <f>G10/D10</f>
        <v>0</v>
      </c>
      <c r="J10" s="166">
        <f>C10/C$28</f>
        <v>0</v>
      </c>
      <c r="K10" s="166">
        <f>D10/D$28</f>
        <v>3.7305521207896021E-3</v>
      </c>
      <c r="L10" s="171">
        <f t="shared" ref="L10:L11" si="11">C10/$C$28-D10/$D$28</f>
        <v>-3.7305521207896021E-3</v>
      </c>
    </row>
    <row r="11" spans="1:17" ht="15.75" customHeight="1" thickBot="1">
      <c r="A11" s="23" t="s">
        <v>36</v>
      </c>
      <c r="B11" s="157"/>
      <c r="C11" s="157"/>
      <c r="D11" s="159"/>
      <c r="E11" s="161"/>
      <c r="F11" s="163"/>
      <c r="G11" s="163"/>
      <c r="H11" s="165"/>
      <c r="I11" s="165"/>
      <c r="J11" s="167"/>
      <c r="K11" s="167"/>
      <c r="L11" s="172">
        <f t="shared" si="11"/>
        <v>0</v>
      </c>
      <c r="O11" s="42" t="str">
        <f>J1</f>
        <v>уд. вес. %,  за 2016-2017 г.</v>
      </c>
    </row>
    <row r="12" spans="1:17" ht="13.5" thickBot="1">
      <c r="A12" s="23" t="s">
        <v>37</v>
      </c>
      <c r="B12" s="24">
        <v>1420</v>
      </c>
      <c r="C12" s="24"/>
      <c r="D12" s="24"/>
      <c r="E12" s="46"/>
      <c r="F12" s="47"/>
      <c r="G12" s="47"/>
      <c r="H12" s="47"/>
      <c r="I12" s="47"/>
      <c r="J12" s="48"/>
      <c r="K12" s="48"/>
      <c r="L12" s="48"/>
      <c r="N12" s="42" t="s">
        <v>88</v>
      </c>
      <c r="O12" s="45">
        <f>J9</f>
        <v>0.69540778193567454</v>
      </c>
    </row>
    <row r="13" spans="1:17" ht="13.5" thickBot="1">
      <c r="A13" s="23" t="s">
        <v>38</v>
      </c>
      <c r="B13" s="24">
        <v>1430</v>
      </c>
      <c r="C13" s="24"/>
      <c r="D13" s="24"/>
      <c r="E13" s="46"/>
      <c r="F13" s="47"/>
      <c r="G13" s="47"/>
      <c r="H13" s="47"/>
      <c r="I13" s="47"/>
      <c r="J13" s="48"/>
      <c r="K13" s="48"/>
      <c r="L13" s="48"/>
      <c r="N13" s="42" t="s">
        <v>89</v>
      </c>
      <c r="O13" s="45">
        <f>J15</f>
        <v>5.3076549048453351E-3</v>
      </c>
    </row>
    <row r="14" spans="1:17" ht="13.5" thickBot="1">
      <c r="A14" s="23" t="s">
        <v>39</v>
      </c>
      <c r="B14" s="24">
        <v>1450</v>
      </c>
      <c r="C14" s="34">
        <v>376376</v>
      </c>
      <c r="D14" s="25">
        <v>398827</v>
      </c>
      <c r="E14" s="26">
        <v>293747</v>
      </c>
      <c r="F14" s="49">
        <f t="shared" ref="F14:F25" si="12">C14-D14</f>
        <v>-22451</v>
      </c>
      <c r="G14" s="49">
        <f t="shared" ref="G14:G25" si="13">D14-E14</f>
        <v>105080</v>
      </c>
      <c r="H14" s="50">
        <f t="shared" ref="H14:H24" si="14">F14/C14</f>
        <v>-5.965045592705167E-2</v>
      </c>
      <c r="I14" s="50">
        <f t="shared" ref="I14:I24" si="15">G14/D14</f>
        <v>0.26347263349773209</v>
      </c>
      <c r="J14" s="51">
        <f t="shared" ref="J14:J25" si="16">C14/C$28</f>
        <v>5.3076549048453351E-3</v>
      </c>
      <c r="K14" s="51">
        <f t="shared" ref="K14:K25" si="17">D14/D$28</f>
        <v>5.9455767597950586E-3</v>
      </c>
      <c r="L14" s="51">
        <f>C14/$C$28-D14/$D$28</f>
        <v>-6.3792185494972349E-4</v>
      </c>
      <c r="N14" s="42" t="s">
        <v>90</v>
      </c>
      <c r="O14" s="45">
        <f>J27</f>
        <v>0.2992845631594801</v>
      </c>
    </row>
    <row r="15" spans="1:17" ht="13.5" thickBot="1">
      <c r="A15" s="52" t="s">
        <v>40</v>
      </c>
      <c r="B15" s="24">
        <v>1400</v>
      </c>
      <c r="C15" s="34">
        <v>376376</v>
      </c>
      <c r="D15" s="25">
        <v>649071</v>
      </c>
      <c r="E15" s="26">
        <v>792137</v>
      </c>
      <c r="F15" s="49">
        <f t="shared" si="12"/>
        <v>-272695</v>
      </c>
      <c r="G15" s="49">
        <f t="shared" si="13"/>
        <v>-143066</v>
      </c>
      <c r="H15" s="50">
        <f t="shared" si="14"/>
        <v>-0.72452813144302508</v>
      </c>
      <c r="I15" s="50">
        <f t="shared" si="15"/>
        <v>-0.22041656459770964</v>
      </c>
      <c r="J15" s="51">
        <f t="shared" si="16"/>
        <v>5.3076549048453351E-3</v>
      </c>
      <c r="K15" s="51">
        <f t="shared" si="17"/>
        <v>9.6761288805846599E-3</v>
      </c>
      <c r="L15" s="51">
        <f>C15/$C$28-D15/$D$28</f>
        <v>-4.3684739757393247E-3</v>
      </c>
    </row>
    <row r="16" spans="1:17" ht="26.25" thickBot="1">
      <c r="A16" s="23" t="s">
        <v>41</v>
      </c>
      <c r="B16" s="24">
        <v>1510</v>
      </c>
      <c r="C16" s="34">
        <v>9046966</v>
      </c>
      <c r="D16" s="25">
        <v>9475677</v>
      </c>
      <c r="E16" s="26">
        <v>6831031</v>
      </c>
      <c r="F16" s="49">
        <f t="shared" si="12"/>
        <v>-428711</v>
      </c>
      <c r="G16" s="49">
        <f t="shared" si="13"/>
        <v>2644646</v>
      </c>
      <c r="H16" s="50">
        <f t="shared" si="14"/>
        <v>-4.7387267731524581E-2</v>
      </c>
      <c r="I16" s="50">
        <f t="shared" si="15"/>
        <v>0.27909836943576699</v>
      </c>
      <c r="J16" s="51">
        <f t="shared" si="16"/>
        <v>0.12758032782076695</v>
      </c>
      <c r="K16" s="51">
        <f t="shared" si="17"/>
        <v>0.14126015779905712</v>
      </c>
      <c r="L16" s="51">
        <f>C16/$C$28-D16/$D$28</f>
        <v>-1.3679829978290176E-2</v>
      </c>
    </row>
    <row r="17" spans="1:12" ht="13.5" thickBot="1">
      <c r="A17" s="23" t="s">
        <v>42</v>
      </c>
      <c r="B17" s="24">
        <v>1520</v>
      </c>
      <c r="C17" s="34">
        <v>9270061</v>
      </c>
      <c r="D17" s="25">
        <v>10982108</v>
      </c>
      <c r="E17" s="26">
        <v>10749111</v>
      </c>
      <c r="F17" s="49">
        <f t="shared" si="12"/>
        <v>-1712047</v>
      </c>
      <c r="G17" s="49">
        <f t="shared" si="13"/>
        <v>232997</v>
      </c>
      <c r="H17" s="50">
        <f t="shared" si="14"/>
        <v>-0.18468562396730723</v>
      </c>
      <c r="I17" s="50">
        <f t="shared" si="15"/>
        <v>2.1216054331281389E-2</v>
      </c>
      <c r="J17" s="51">
        <f t="shared" si="16"/>
        <v>0.13072641383846326</v>
      </c>
      <c r="K17" s="51">
        <f t="shared" si="17"/>
        <v>0.16371751686410246</v>
      </c>
      <c r="L17" s="51">
        <f>C17/$C$28-D17/$D$28</f>
        <v>-3.2991103025639207E-2</v>
      </c>
    </row>
    <row r="18" spans="1:12" ht="13.5" thickBot="1">
      <c r="A18" s="23" t="s">
        <v>43</v>
      </c>
      <c r="B18" s="24">
        <v>15201</v>
      </c>
      <c r="C18" s="34">
        <v>5199417</v>
      </c>
      <c r="D18" s="25">
        <v>6321461</v>
      </c>
      <c r="E18" s="26">
        <v>5787427</v>
      </c>
      <c r="F18" s="49">
        <f t="shared" si="12"/>
        <v>-1122044</v>
      </c>
      <c r="G18" s="49">
        <f t="shared" si="13"/>
        <v>534034</v>
      </c>
      <c r="H18" s="50">
        <f t="shared" si="14"/>
        <v>-0.21580188701925621</v>
      </c>
      <c r="I18" s="50">
        <f t="shared" si="15"/>
        <v>8.4479521427087825E-2</v>
      </c>
      <c r="J18" s="51">
        <f t="shared" si="16"/>
        <v>7.3322186171238909E-2</v>
      </c>
      <c r="K18" s="51">
        <f t="shared" si="17"/>
        <v>9.4238182494040854E-2</v>
      </c>
      <c r="L18" s="51">
        <f>C18/$C$28-D18/$D$28</f>
        <v>-2.0915996322801944E-2</v>
      </c>
    </row>
    <row r="19" spans="1:12" ht="13.5" thickBot="1">
      <c r="A19" s="29" t="s">
        <v>44</v>
      </c>
      <c r="B19" s="24">
        <v>15202</v>
      </c>
      <c r="C19" s="34">
        <v>260608</v>
      </c>
      <c r="D19" s="25">
        <v>220493</v>
      </c>
      <c r="E19" s="26">
        <v>210598</v>
      </c>
      <c r="F19" s="49">
        <f t="shared" si="12"/>
        <v>40115</v>
      </c>
      <c r="G19" s="49">
        <f t="shared" si="13"/>
        <v>9895</v>
      </c>
      <c r="H19" s="50">
        <f t="shared" si="14"/>
        <v>0.15392850564833005</v>
      </c>
      <c r="I19" s="50">
        <f t="shared" si="15"/>
        <v>4.4876708104112151E-2</v>
      </c>
      <c r="J19" s="51">
        <f t="shared" si="16"/>
        <v>3.6750943987978327E-3</v>
      </c>
      <c r="K19" s="51">
        <f t="shared" si="17"/>
        <v>3.2870343695323833E-3</v>
      </c>
      <c r="L19" s="51">
        <f t="shared" ref="L19:L24" si="18">C19/$C$28-D19/$D$28</f>
        <v>3.8806002926544941E-4</v>
      </c>
    </row>
    <row r="20" spans="1:12" ht="13.5" thickBot="1">
      <c r="A20" s="29" t="s">
        <v>45</v>
      </c>
      <c r="B20" s="24">
        <v>15203</v>
      </c>
      <c r="C20" s="34">
        <v>189931</v>
      </c>
      <c r="D20" s="25">
        <v>637583</v>
      </c>
      <c r="E20" s="26">
        <v>498642</v>
      </c>
      <c r="F20" s="49">
        <f t="shared" si="12"/>
        <v>-447652</v>
      </c>
      <c r="G20" s="49">
        <f t="shared" si="13"/>
        <v>138941</v>
      </c>
      <c r="H20" s="50">
        <f t="shared" si="14"/>
        <v>-2.3569190916701328</v>
      </c>
      <c r="I20" s="50">
        <f t="shared" si="15"/>
        <v>0.21791829455929659</v>
      </c>
      <c r="J20" s="51">
        <f t="shared" si="16"/>
        <v>2.6784072409828984E-3</v>
      </c>
      <c r="K20" s="51">
        <f t="shared" si="17"/>
        <v>9.504869698491859E-3</v>
      </c>
      <c r="L20" s="51">
        <f t="shared" si="18"/>
        <v>-6.8264624575089606E-3</v>
      </c>
    </row>
    <row r="21" spans="1:12" ht="26.25" thickBot="1">
      <c r="A21" s="29" t="s">
        <v>46</v>
      </c>
      <c r="B21" s="24">
        <v>15204</v>
      </c>
      <c r="C21" s="34">
        <v>11626</v>
      </c>
      <c r="D21" s="25">
        <v>117893</v>
      </c>
      <c r="E21" s="26">
        <v>109101</v>
      </c>
      <c r="F21" s="49">
        <f t="shared" si="12"/>
        <v>-106267</v>
      </c>
      <c r="G21" s="49">
        <f t="shared" si="13"/>
        <v>8792</v>
      </c>
      <c r="H21" s="50">
        <f t="shared" si="14"/>
        <v>-9.1404610356098406</v>
      </c>
      <c r="I21" s="50">
        <f t="shared" si="15"/>
        <v>7.4576098665739277E-2</v>
      </c>
      <c r="J21" s="51">
        <f t="shared" si="16"/>
        <v>1.6394986907701837E-4</v>
      </c>
      <c r="K21" s="51">
        <f t="shared" si="17"/>
        <v>1.7575085963149907E-3</v>
      </c>
      <c r="L21" s="51">
        <f t="shared" si="18"/>
        <v>-1.5935587272379724E-3</v>
      </c>
    </row>
    <row r="22" spans="1:12" ht="13.5" thickBot="1">
      <c r="A22" s="29" t="s">
        <v>80</v>
      </c>
      <c r="B22" s="24">
        <v>15205</v>
      </c>
      <c r="C22" s="34">
        <v>3044983</v>
      </c>
      <c r="D22" s="25">
        <v>3461734</v>
      </c>
      <c r="E22" s="26">
        <v>4018838</v>
      </c>
      <c r="F22" s="49">
        <f t="shared" si="12"/>
        <v>-416751</v>
      </c>
      <c r="G22" s="49">
        <f t="shared" si="13"/>
        <v>-557104</v>
      </c>
      <c r="H22" s="50">
        <f t="shared" si="14"/>
        <v>-0.13686480351450239</v>
      </c>
      <c r="I22" s="50">
        <f t="shared" si="15"/>
        <v>-0.16093206468203508</v>
      </c>
      <c r="J22" s="51">
        <f t="shared" si="16"/>
        <v>4.294035473866735E-2</v>
      </c>
      <c r="K22" s="51">
        <f t="shared" si="17"/>
        <v>5.1606348664940904E-2</v>
      </c>
      <c r="L22" s="51">
        <f t="shared" si="18"/>
        <v>-8.6659939262735547E-3</v>
      </c>
    </row>
    <row r="23" spans="1:12" ht="13.5" thickBot="1">
      <c r="A23" s="23" t="s">
        <v>47</v>
      </c>
      <c r="B23" s="24">
        <v>15206</v>
      </c>
      <c r="C23" s="34">
        <v>563496</v>
      </c>
      <c r="D23" s="25">
        <v>222944</v>
      </c>
      <c r="E23" s="26">
        <v>124505</v>
      </c>
      <c r="F23" s="49">
        <f t="shared" si="12"/>
        <v>340552</v>
      </c>
      <c r="G23" s="49">
        <f t="shared" si="13"/>
        <v>98439</v>
      </c>
      <c r="H23" s="50">
        <f t="shared" si="14"/>
        <v>0.60435566534633789</v>
      </c>
      <c r="I23" s="50">
        <f t="shared" si="15"/>
        <v>0.44154137361848717</v>
      </c>
      <c r="J23" s="51">
        <f t="shared" si="16"/>
        <v>7.9464214196992549E-3</v>
      </c>
      <c r="K23" s="51">
        <f t="shared" si="17"/>
        <v>3.3235730407814652E-3</v>
      </c>
      <c r="L23" s="51">
        <f t="shared" si="18"/>
        <v>4.6228483789177901E-3</v>
      </c>
    </row>
    <row r="24" spans="1:12" ht="13.5" thickBot="1">
      <c r="A24" s="23" t="s">
        <v>48</v>
      </c>
      <c r="B24" s="24">
        <v>1530</v>
      </c>
      <c r="C24" s="34">
        <v>2646369</v>
      </c>
      <c r="D24" s="25">
        <v>3690429</v>
      </c>
      <c r="E24" s="26">
        <v>4905579</v>
      </c>
      <c r="F24" s="49">
        <f t="shared" si="12"/>
        <v>-1044060</v>
      </c>
      <c r="G24" s="49">
        <f t="shared" si="13"/>
        <v>-1215150</v>
      </c>
      <c r="H24" s="50">
        <f t="shared" si="14"/>
        <v>-0.39452548000675641</v>
      </c>
      <c r="I24" s="50">
        <f t="shared" si="15"/>
        <v>-0.32927066202872352</v>
      </c>
      <c r="J24" s="51">
        <f t="shared" si="16"/>
        <v>3.7319099525157405E-2</v>
      </c>
      <c r="K24" s="51">
        <f t="shared" si="17"/>
        <v>5.5015655650379032E-2</v>
      </c>
      <c r="L24" s="51">
        <f t="shared" si="18"/>
        <v>-1.7696556125221627E-2</v>
      </c>
    </row>
    <row r="25" spans="1:12" ht="13.5" thickBot="1">
      <c r="A25" s="23" t="s">
        <v>38</v>
      </c>
      <c r="B25" s="24">
        <v>1540</v>
      </c>
      <c r="C25" s="34">
        <v>259447</v>
      </c>
      <c r="D25" s="25">
        <v>239214</v>
      </c>
      <c r="E25" s="26">
        <v>217344</v>
      </c>
      <c r="F25" s="49">
        <f t="shared" si="12"/>
        <v>20233</v>
      </c>
      <c r="G25" s="49">
        <f t="shared" si="13"/>
        <v>21870</v>
      </c>
      <c r="H25" s="50">
        <f t="shared" ref="H25:I25" si="19">F25/C25</f>
        <v>7.7985099076111883E-2</v>
      </c>
      <c r="I25" s="50">
        <f t="shared" si="19"/>
        <v>9.1424414958990688E-2</v>
      </c>
      <c r="J25" s="51">
        <f t="shared" si="16"/>
        <v>3.6587219750924809E-3</v>
      </c>
      <c r="K25" s="51">
        <f t="shared" si="17"/>
        <v>3.566120646339428E-3</v>
      </c>
      <c r="L25" s="51">
        <f>C25/$C$28-D25/$D$28</f>
        <v>9.2601328753052874E-5</v>
      </c>
    </row>
    <row r="26" spans="1:12" ht="13.5" thickBot="1">
      <c r="A26" s="23" t="s">
        <v>39</v>
      </c>
      <c r="B26" s="24">
        <v>1550</v>
      </c>
      <c r="C26" s="53"/>
      <c r="D26" s="24"/>
      <c r="E26" s="46"/>
      <c r="F26" s="47"/>
      <c r="G26" s="47"/>
      <c r="H26" s="47"/>
      <c r="I26" s="47"/>
      <c r="J26" s="48"/>
      <c r="K26" s="48"/>
      <c r="L26" s="48"/>
    </row>
    <row r="27" spans="1:12" ht="13.5" thickBot="1">
      <c r="A27" s="52" t="s">
        <v>17</v>
      </c>
      <c r="B27" s="24">
        <v>1500</v>
      </c>
      <c r="C27" s="25">
        <v>21222843</v>
      </c>
      <c r="D27" s="25">
        <v>24387428</v>
      </c>
      <c r="E27" s="26">
        <v>22703065</v>
      </c>
      <c r="F27" s="49">
        <f t="shared" ref="F27:F28" si="20">C27-D27</f>
        <v>-3164585</v>
      </c>
      <c r="G27" s="49">
        <f t="shared" ref="G27:G28" si="21">D27-E27</f>
        <v>1684363</v>
      </c>
      <c r="H27" s="50">
        <f>F27/C27</f>
        <v>-0.14911220895334334</v>
      </c>
      <c r="I27" s="50">
        <f>G27/D27</f>
        <v>6.9066856906763605E-2</v>
      </c>
      <c r="J27" s="51">
        <f t="shared" ref="J27:J28" si="22">C27/C$28</f>
        <v>0.2992845631594801</v>
      </c>
      <c r="K27" s="51">
        <f t="shared" ref="K27:K28" si="23">D27/D$28</f>
        <v>0.36355945095987807</v>
      </c>
      <c r="L27" s="51">
        <f>C27/$C$28-D27/$D$28</f>
        <v>-6.4274887800397973E-2</v>
      </c>
    </row>
    <row r="28" spans="1:12" ht="13.5" thickBot="1">
      <c r="A28" s="23" t="s">
        <v>29</v>
      </c>
      <c r="B28" s="24">
        <v>1700</v>
      </c>
      <c r="C28" s="25">
        <v>70911920</v>
      </c>
      <c r="D28" s="25">
        <v>67079615</v>
      </c>
      <c r="E28" s="26">
        <v>61390231</v>
      </c>
      <c r="F28" s="49">
        <f t="shared" si="20"/>
        <v>3832305</v>
      </c>
      <c r="G28" s="49">
        <f t="shared" si="21"/>
        <v>5689384</v>
      </c>
      <c r="H28" s="50">
        <f>F28/C28</f>
        <v>5.4043170739136663E-2</v>
      </c>
      <c r="I28" s="50">
        <f>G28/D28</f>
        <v>8.4815394363846608E-2</v>
      </c>
      <c r="J28" s="51">
        <f t="shared" si="22"/>
        <v>1</v>
      </c>
      <c r="K28" s="51">
        <f t="shared" si="23"/>
        <v>1</v>
      </c>
      <c r="L28" s="51"/>
    </row>
    <row r="29" spans="1:12">
      <c r="A29" s="54"/>
      <c r="B29" s="30"/>
      <c r="C29" s="31"/>
      <c r="D29" s="31"/>
      <c r="E29" s="31"/>
      <c r="F29" s="55"/>
      <c r="G29" s="55"/>
      <c r="H29" s="56"/>
      <c r="I29" s="56"/>
      <c r="J29" s="57"/>
      <c r="K29" s="57"/>
      <c r="L29" s="57"/>
    </row>
    <row r="30" spans="1:12">
      <c r="A30" s="58" t="s">
        <v>145</v>
      </c>
    </row>
    <row r="31" spans="1:12">
      <c r="A31" s="59" t="s">
        <v>95</v>
      </c>
      <c r="B31" s="60">
        <v>2017</v>
      </c>
      <c r="C31" s="60">
        <v>2016</v>
      </c>
    </row>
    <row r="32" spans="1:12" ht="24" customHeight="1">
      <c r="A32" s="61" t="s">
        <v>128</v>
      </c>
      <c r="B32" s="62">
        <f>(актив!C31-пассив!C27)/пассив!C28</f>
        <v>-2.5990693807190667E-2</v>
      </c>
      <c r="C32" s="62">
        <f>(актив!D31-пассив!D27)/пассив!D28</f>
        <v>-5.4563223119274015E-2</v>
      </c>
      <c r="D32" s="63" t="s">
        <v>129</v>
      </c>
      <c r="E32" s="42" t="s">
        <v>134</v>
      </c>
      <c r="F32" s="64"/>
    </row>
    <row r="33" spans="1:11" ht="25.5">
      <c r="A33" s="61" t="s">
        <v>139</v>
      </c>
      <c r="B33" s="65">
        <f>'отчет о финансовых результатах'!C25/пассив!C28</f>
        <v>3.8573063597770302E-3</v>
      </c>
      <c r="C33" s="65">
        <f>'отчет о финансовых результатах'!E25/пассив!D28</f>
        <v>3.7544938205146226E-3</v>
      </c>
      <c r="D33" s="63" t="s">
        <v>130</v>
      </c>
      <c r="E33" s="42" t="s">
        <v>135</v>
      </c>
      <c r="F33" s="66"/>
    </row>
    <row r="34" spans="1:11" ht="25.5">
      <c r="A34" s="61" t="s">
        <v>140</v>
      </c>
      <c r="B34" s="62">
        <f>'отчет о финансовых результатах'!C18/пассив!C28</f>
        <v>9.9941448489901281E-3</v>
      </c>
      <c r="C34" s="62">
        <f>'отчет о финансовых результатах'!E18/пассив!D28</f>
        <v>1.0131632389362998E-2</v>
      </c>
      <c r="D34" s="63" t="s">
        <v>131</v>
      </c>
      <c r="E34" s="42" t="s">
        <v>136</v>
      </c>
      <c r="F34" s="64"/>
    </row>
    <row r="35" spans="1:11" ht="38.25">
      <c r="A35" s="61" t="s">
        <v>141</v>
      </c>
      <c r="B35" s="62">
        <f>пассив!C9/(пассив!C15+пассив!C27)</f>
        <v>2.2830779668468568</v>
      </c>
      <c r="C35" s="62">
        <f>пассив!D9/(пассив!D15+пассив!D27)</f>
        <v>1.6792729686367092</v>
      </c>
      <c r="D35" s="63" t="s">
        <v>132</v>
      </c>
      <c r="E35" s="42" t="s">
        <v>137</v>
      </c>
      <c r="F35" s="64"/>
    </row>
    <row r="36" spans="1:11" ht="38.25">
      <c r="A36" s="61" t="s">
        <v>142</v>
      </c>
      <c r="B36" s="62">
        <f>'отчет о финансовых результатах'!C3/пассив!C28</f>
        <v>0.41693883059434861</v>
      </c>
      <c r="C36" s="62">
        <f>'отчет о финансовых результатах'!E3/пассив!D28</f>
        <v>0.5235908107105266</v>
      </c>
      <c r="D36" s="63" t="s">
        <v>133</v>
      </c>
      <c r="E36" s="42" t="s">
        <v>138</v>
      </c>
      <c r="F36" s="64"/>
      <c r="J36" s="67"/>
      <c r="K36" s="67"/>
    </row>
    <row r="37" spans="1:11">
      <c r="A37" s="59" t="s">
        <v>96</v>
      </c>
      <c r="B37" s="62">
        <f>1.2*B32+1.4*B33+3.3*B34+0.6*B35+B36</f>
        <v>1.7939776850391891</v>
      </c>
      <c r="C37" s="62">
        <f>1.2*C32+1.4*C33+3.3*C34+0.6*C35+C36</f>
        <v>1.5043694023830416</v>
      </c>
    </row>
    <row r="39" spans="1:11" ht="14.25">
      <c r="A39" s="68" t="s">
        <v>143</v>
      </c>
    </row>
    <row r="40" spans="1:11">
      <c r="A40" s="63"/>
    </row>
    <row r="42" spans="1:11">
      <c r="A42" s="69" t="s">
        <v>144</v>
      </c>
    </row>
    <row r="43" spans="1:11">
      <c r="A43" s="168" t="s">
        <v>95</v>
      </c>
      <c r="B43" s="168">
        <v>2017</v>
      </c>
      <c r="C43" s="168">
        <v>2016</v>
      </c>
      <c r="D43" s="168">
        <v>2015</v>
      </c>
      <c r="E43" s="173" t="s">
        <v>98</v>
      </c>
      <c r="F43" s="174"/>
      <c r="G43" s="173" t="s">
        <v>99</v>
      </c>
      <c r="H43" s="174"/>
    </row>
    <row r="44" spans="1:11">
      <c r="A44" s="169"/>
      <c r="B44" s="169"/>
      <c r="C44" s="169"/>
      <c r="D44" s="169"/>
      <c r="E44" s="175" t="s">
        <v>126</v>
      </c>
      <c r="F44" s="178" t="s">
        <v>127</v>
      </c>
      <c r="G44" s="175" t="s">
        <v>126</v>
      </c>
      <c r="H44" s="178" t="s">
        <v>127</v>
      </c>
    </row>
    <row r="45" spans="1:11">
      <c r="A45" s="169"/>
      <c r="B45" s="169"/>
      <c r="C45" s="169"/>
      <c r="D45" s="169"/>
      <c r="E45" s="176"/>
      <c r="F45" s="179"/>
      <c r="G45" s="176"/>
      <c r="H45" s="179"/>
    </row>
    <row r="46" spans="1:11">
      <c r="A46" s="170"/>
      <c r="B46" s="170"/>
      <c r="C46" s="170"/>
      <c r="D46" s="170"/>
      <c r="E46" s="177"/>
      <c r="F46" s="180"/>
      <c r="G46" s="177"/>
      <c r="H46" s="180"/>
    </row>
    <row r="47" spans="1:11">
      <c r="A47" s="61" t="s">
        <v>110</v>
      </c>
      <c r="B47" s="105">
        <f>C9-актив!C14</f>
        <v>-2219426</v>
      </c>
      <c r="C47" s="105">
        <f>D9-актив!D14</f>
        <v>-4309151</v>
      </c>
      <c r="D47" s="105">
        <f>E9-актив!E14</f>
        <v>-6555049</v>
      </c>
      <c r="E47" s="105">
        <f>B47-C47</f>
        <v>2089725</v>
      </c>
      <c r="F47" s="105">
        <f>C47-D47</f>
        <v>2245898</v>
      </c>
      <c r="G47" s="70">
        <f>E47/C47</f>
        <v>-0.48495051577445303</v>
      </c>
      <c r="H47" s="70">
        <f>F47/D47</f>
        <v>-0.34262108490722187</v>
      </c>
    </row>
    <row r="48" spans="1:11" ht="25.5">
      <c r="A48" s="61" t="s">
        <v>111</v>
      </c>
      <c r="B48" s="70">
        <f>(C9-актив!C14)/актив!C31</f>
        <v>-0.11452268865823283</v>
      </c>
      <c r="C48" s="70">
        <f>(D9-актив!D14)/актив!D31</f>
        <v>-0.20789688097097611</v>
      </c>
      <c r="D48" s="70">
        <f>(E9-актив!E14)/актив!E31</f>
        <v>-0.38695335278258702</v>
      </c>
      <c r="E48" s="70">
        <f t="shared" ref="E48:E57" si="24">B48-C48</f>
        <v>9.3374192312743284E-2</v>
      </c>
      <c r="F48" s="70">
        <f t="shared" ref="F48:F57" si="25">C48-D48</f>
        <v>0.17905647181161091</v>
      </c>
      <c r="G48" s="70">
        <f t="shared" ref="G48:G57" si="26">E48/C48</f>
        <v>-0.44913705235327211</v>
      </c>
      <c r="H48" s="70">
        <f t="shared" ref="H48:H57" si="27">F48/D48</f>
        <v>-0.46273399758398087</v>
      </c>
    </row>
    <row r="49" spans="1:13">
      <c r="A49" s="61" t="s">
        <v>112</v>
      </c>
      <c r="B49" s="70">
        <f>(актив!C31-пассив!C27)/пассив!C9</f>
        <v>-3.7374752601768861E-2</v>
      </c>
      <c r="C49" s="70">
        <f>(актив!D31-пассив!D27)/пассив!D9</f>
        <v>-8.7055393325271138E-2</v>
      </c>
      <c r="D49" s="70">
        <f>(актив!E31-пассив!E27)/пассив!E9</f>
        <v>-0.15207567198325669</v>
      </c>
      <c r="E49" s="70">
        <f t="shared" si="24"/>
        <v>4.9680640723502277E-2</v>
      </c>
      <c r="F49" s="70">
        <f t="shared" si="25"/>
        <v>6.5020278657985556E-2</v>
      </c>
      <c r="G49" s="70">
        <f t="shared" si="26"/>
        <v>-0.57067849361012057</v>
      </c>
      <c r="H49" s="70">
        <f t="shared" si="27"/>
        <v>-0.42755213776168088</v>
      </c>
      <c r="I49" s="106"/>
      <c r="J49" s="64"/>
    </row>
    <row r="50" spans="1:13" ht="25.5">
      <c r="A50" s="61" t="s">
        <v>113</v>
      </c>
      <c r="B50" s="70">
        <f>(пассив!C9-актив!C14)/актив!C15</f>
        <v>-1.5813148542391624</v>
      </c>
      <c r="C50" s="70">
        <f>(пассив!D9-актив!D14)/актив!D15</f>
        <v>-2.6834215321308075</v>
      </c>
      <c r="D50" s="70">
        <f>(пассив!E9-актив!E14)/актив!E15</f>
        <v>-4.0463090591583866</v>
      </c>
      <c r="E50" s="70">
        <f t="shared" si="24"/>
        <v>1.1021066778916451</v>
      </c>
      <c r="F50" s="70">
        <f t="shared" si="25"/>
        <v>1.3628875270275791</v>
      </c>
      <c r="G50" s="70">
        <f t="shared" si="26"/>
        <v>-0.41070948589150741</v>
      </c>
      <c r="H50" s="70">
        <f t="shared" si="27"/>
        <v>-0.33682239964908994</v>
      </c>
      <c r="I50" s="107"/>
    </row>
    <row r="51" spans="1:13">
      <c r="A51" s="61" t="s">
        <v>114</v>
      </c>
      <c r="B51" s="70">
        <f>(актив!C31-актив!C22)/пассив!C27</f>
        <v>9.5399235625500317E-2</v>
      </c>
      <c r="C51" s="70">
        <f>(актив!D31-актив!D22)/пассив!D27</f>
        <v>9.4434640668134423E-2</v>
      </c>
      <c r="D51" s="70">
        <f>(актив!E31-актив!E22)/пассив!E27</f>
        <v>9.6913037953245518E-2</v>
      </c>
      <c r="E51" s="70">
        <f t="shared" si="24"/>
        <v>9.6459495736589407E-4</v>
      </c>
      <c r="F51" s="70">
        <f t="shared" si="25"/>
        <v>-2.4783972851110947E-3</v>
      </c>
      <c r="G51" s="70">
        <f t="shared" si="26"/>
        <v>1.0214418676677217E-2</v>
      </c>
      <c r="H51" s="70">
        <f t="shared" si="27"/>
        <v>-2.557341444921752E-2</v>
      </c>
    </row>
    <row r="52" spans="1:13" ht="25.5">
      <c r="A52" s="61" t="s">
        <v>115</v>
      </c>
      <c r="B52" s="70">
        <f>(актив!C31+актив!C10)/(пассив!C27-пассив!C24-пассив!C25)</f>
        <v>1.5048771288048</v>
      </c>
      <c r="C52" s="70">
        <f>(актив!D31+актив!D10)/(пассив!D27-пассив!D24-пассив!D25)</f>
        <v>1.4132727467807487</v>
      </c>
      <c r="D52" s="70">
        <f>(актив!E31+актив!E10)/(пассив!E27-пассив!E24-пассив!E25)</f>
        <v>1.4291883990470611</v>
      </c>
      <c r="E52" s="70">
        <f t="shared" si="24"/>
        <v>9.1604382024051301E-2</v>
      </c>
      <c r="F52" s="70">
        <f t="shared" si="25"/>
        <v>-1.5915652266312419E-2</v>
      </c>
      <c r="G52" s="70">
        <f t="shared" si="26"/>
        <v>6.4817199817030477E-2</v>
      </c>
      <c r="H52" s="70">
        <f t="shared" si="27"/>
        <v>-1.1136147114631274E-2</v>
      </c>
      <c r="I52" s="17"/>
    </row>
    <row r="53" spans="1:13">
      <c r="A53" s="61" t="s">
        <v>116</v>
      </c>
      <c r="B53" s="70">
        <f>C28/пассив!C9</f>
        <v>1.4380051905897429</v>
      </c>
      <c r="C53" s="70">
        <f>D28/пассив!D9</f>
        <v>1.5954958000734294</v>
      </c>
      <c r="D53" s="70">
        <f>E28/пассив!E9</f>
        <v>1.6200074949144385</v>
      </c>
      <c r="E53" s="70">
        <f t="shared" si="24"/>
        <v>-0.15749060948368654</v>
      </c>
      <c r="F53" s="70">
        <f t="shared" si="25"/>
        <v>-2.4511694841009124E-2</v>
      </c>
      <c r="G53" s="70">
        <f t="shared" si="26"/>
        <v>-9.8709510533614916E-2</v>
      </c>
      <c r="H53" s="70">
        <f t="shared" si="27"/>
        <v>-1.5130605826180898E-2</v>
      </c>
      <c r="I53" s="64"/>
      <c r="J53" s="64"/>
      <c r="K53" s="64"/>
      <c r="L53" s="64"/>
      <c r="M53" s="64"/>
    </row>
    <row r="54" spans="1:13" ht="15" customHeight="1">
      <c r="A54" s="61" t="s">
        <v>117</v>
      </c>
      <c r="B54" s="70">
        <f>(C9-актив!C14)/пассив!C9</f>
        <v>-4.5007187904795562E-2</v>
      </c>
      <c r="C54" s="70">
        <f>(D9-актив!D14)/пассив!D9</f>
        <v>-0.10249361631521317</v>
      </c>
      <c r="D54" s="70">
        <f>(E9-актив!E14)/пассив!E9</f>
        <v>-0.17297912610120975</v>
      </c>
      <c r="E54" s="70">
        <f t="shared" si="24"/>
        <v>5.7486428410417609E-2</v>
      </c>
      <c r="F54" s="70">
        <f t="shared" si="25"/>
        <v>7.0485509785996575E-2</v>
      </c>
      <c r="G54" s="70">
        <f t="shared" si="26"/>
        <v>-0.56087813541110143</v>
      </c>
      <c r="H54" s="70">
        <f t="shared" si="27"/>
        <v>-0.40747985826194799</v>
      </c>
      <c r="I54" s="64"/>
      <c r="J54" s="64"/>
      <c r="K54" s="64"/>
      <c r="L54" s="64"/>
      <c r="M54" s="64"/>
    </row>
    <row r="55" spans="1:13" ht="15.75" customHeight="1">
      <c r="A55" s="61" t="s">
        <v>118</v>
      </c>
      <c r="B55" s="70">
        <f>(C15+C27)/C28</f>
        <v>0.30459221806432546</v>
      </c>
      <c r="C55" s="70">
        <f t="shared" ref="C55:D55" si="28">(D15+D27)/D28</f>
        <v>0.37323557984046268</v>
      </c>
      <c r="D55" s="70">
        <f t="shared" si="28"/>
        <v>0.38271890522777152</v>
      </c>
      <c r="E55" s="70">
        <f t="shared" si="24"/>
        <v>-6.8643361776137224E-2</v>
      </c>
      <c r="F55" s="70">
        <f t="shared" si="25"/>
        <v>-9.4833253873088386E-3</v>
      </c>
      <c r="G55" s="70">
        <f t="shared" si="26"/>
        <v>-0.18391430368315481</v>
      </c>
      <c r="H55" s="70">
        <f t="shared" si="27"/>
        <v>-2.4778826595108824E-2</v>
      </c>
      <c r="I55" s="64"/>
      <c r="J55" s="64"/>
      <c r="K55" s="64"/>
      <c r="L55" s="64"/>
      <c r="M55" s="64"/>
    </row>
    <row r="56" spans="1:13" ht="25.5">
      <c r="A56" s="61" t="s">
        <v>119</v>
      </c>
      <c r="B56" s="70">
        <f>C9/(C15+C27)</f>
        <v>2.2830779668468568</v>
      </c>
      <c r="C56" s="70">
        <f t="shared" ref="C56:D56" si="29">D9/(D15+D27)</f>
        <v>1.6792729686367092</v>
      </c>
      <c r="D56" s="70">
        <f t="shared" si="29"/>
        <v>1.6128837283458981</v>
      </c>
      <c r="E56" s="70">
        <f t="shared" si="24"/>
        <v>0.60380499821014766</v>
      </c>
      <c r="F56" s="70">
        <f t="shared" si="25"/>
        <v>6.6389240290811058E-2</v>
      </c>
      <c r="G56" s="70">
        <f t="shared" si="26"/>
        <v>0.35956334049748745</v>
      </c>
      <c r="H56" s="70">
        <f t="shared" si="27"/>
        <v>4.1161826561978469E-2</v>
      </c>
      <c r="I56" s="64"/>
      <c r="J56" s="64"/>
      <c r="K56" s="64"/>
      <c r="L56" s="64"/>
      <c r="M56" s="64"/>
    </row>
    <row r="57" spans="1:13">
      <c r="A57" s="61" t="s">
        <v>120</v>
      </c>
      <c r="B57" s="70">
        <f>(C9+C15)/C28</f>
        <v>0.70071543684051996</v>
      </c>
      <c r="C57" s="70">
        <f t="shared" ref="C57:D57" si="30">(D9+D15)/D28</f>
        <v>0.63644054904012193</v>
      </c>
      <c r="D57" s="70">
        <f t="shared" si="30"/>
        <v>0.63018440181467961</v>
      </c>
      <c r="E57" s="70">
        <f t="shared" si="24"/>
        <v>6.4274887800398028E-2</v>
      </c>
      <c r="F57" s="70">
        <f t="shared" si="25"/>
        <v>6.2561472254423212E-3</v>
      </c>
      <c r="G57" s="70">
        <f t="shared" si="26"/>
        <v>0.10099118903931759</v>
      </c>
      <c r="H57" s="70">
        <f t="shared" si="27"/>
        <v>9.9274866331618382E-3</v>
      </c>
      <c r="I57" s="64"/>
      <c r="J57" s="64"/>
      <c r="K57" s="64"/>
      <c r="L57" s="64"/>
      <c r="M57" s="64"/>
    </row>
    <row r="58" spans="1:13">
      <c r="I58" s="64"/>
      <c r="J58" s="64"/>
      <c r="K58" s="64"/>
    </row>
    <row r="59" spans="1:13">
      <c r="A59" s="69" t="s">
        <v>97</v>
      </c>
    </row>
    <row r="60" spans="1:13" ht="35.25" customHeight="1">
      <c r="A60" s="168" t="s">
        <v>95</v>
      </c>
      <c r="B60" s="168">
        <v>2017</v>
      </c>
      <c r="C60" s="168">
        <v>2016</v>
      </c>
      <c r="D60" s="108" t="s">
        <v>98</v>
      </c>
      <c r="E60" s="110" t="s">
        <v>99</v>
      </c>
    </row>
    <row r="61" spans="1:13">
      <c r="A61" s="169"/>
      <c r="B61" s="169"/>
      <c r="C61" s="169"/>
      <c r="D61" s="181" t="s">
        <v>126</v>
      </c>
      <c r="E61" s="184" t="s">
        <v>126</v>
      </c>
    </row>
    <row r="62" spans="1:13">
      <c r="A62" s="169"/>
      <c r="B62" s="169"/>
      <c r="C62" s="169"/>
      <c r="D62" s="182"/>
      <c r="E62" s="184"/>
    </row>
    <row r="63" spans="1:13">
      <c r="A63" s="170"/>
      <c r="B63" s="170"/>
      <c r="C63" s="170"/>
      <c r="D63" s="183"/>
      <c r="E63" s="184"/>
    </row>
    <row r="64" spans="1:13" ht="25.5" customHeight="1">
      <c r="A64" s="61" t="s">
        <v>100</v>
      </c>
      <c r="B64" s="70">
        <f>'отчет о финансовых результатах'!C3/(C28)</f>
        <v>0.41693883059434861</v>
      </c>
      <c r="C64" s="70">
        <f>'отчет о финансовых результатах'!E3/(D28)</f>
        <v>0.5235908107105266</v>
      </c>
      <c r="D64" s="109">
        <f>B64-C64</f>
        <v>-0.10665198011617799</v>
      </c>
      <c r="E64" s="112">
        <f>D64/C64</f>
        <v>-0.20369337645832331</v>
      </c>
      <c r="G64" s="16"/>
    </row>
    <row r="65" spans="1:7" ht="15" customHeight="1">
      <c r="A65" s="61" t="s">
        <v>101</v>
      </c>
      <c r="B65" s="70">
        <f>'отчет о финансовых результатах'!C3/актив!C8</f>
        <v>0.86522147683216899</v>
      </c>
      <c r="C65" s="70">
        <f>'отчет о финансовых результатах'!E3/актив!D8</f>
        <v>1.2867851311769205</v>
      </c>
      <c r="D65" s="109">
        <f t="shared" ref="D65:D73" si="31">B65-C65</f>
        <v>-0.42156365434475151</v>
      </c>
      <c r="E65" s="111">
        <f t="shared" ref="E65:E73" si="32">D65/C65</f>
        <v>-0.32760998253001306</v>
      </c>
      <c r="G65" s="16"/>
    </row>
    <row r="66" spans="1:7" ht="25.5">
      <c r="A66" s="61" t="s">
        <v>102</v>
      </c>
      <c r="B66" s="70">
        <f>'отчет о финансовых результатах'!C3/(актив!C31/2+актив!D31/2)</f>
        <v>1.474347573166584</v>
      </c>
      <c r="C66" s="70">
        <f>'отчет о финансовых результатах'!E3/(актив!D31/2+актив!E31/2)</f>
        <v>1.8648579846058808</v>
      </c>
      <c r="D66" s="109">
        <f t="shared" si="31"/>
        <v>-0.39051041143929677</v>
      </c>
      <c r="E66" s="111">
        <f t="shared" si="32"/>
        <v>-0.20940490625179015</v>
      </c>
    </row>
    <row r="67" spans="1:7" ht="15" customHeight="1">
      <c r="A67" s="61" t="s">
        <v>103</v>
      </c>
      <c r="B67" s="70">
        <f>360*(актив!C31/2+актив!D31/2)/'отчет о финансовых результатах'!C3</f>
        <v>244.17580125071649</v>
      </c>
      <c r="C67" s="70">
        <f>360*(актив!D31/2+актив!E31/2)/'отчет о финансовых результатах'!E3</f>
        <v>193.04419048085447</v>
      </c>
      <c r="D67" s="109">
        <f t="shared" si="31"/>
        <v>51.131610769862021</v>
      </c>
      <c r="E67" s="111">
        <f t="shared" si="32"/>
        <v>0.26486997947204788</v>
      </c>
      <c r="G67" s="115"/>
    </row>
    <row r="68" spans="1:7" ht="15" customHeight="1">
      <c r="A68" s="61" t="s">
        <v>104</v>
      </c>
      <c r="B68" s="70">
        <f>'отчет о финансовых результатах'!C6/(актив!C15/2+актив!D15/2)</f>
        <v>22.818174145187669</v>
      </c>
      <c r="C68" s="70">
        <f>'отчет о финансовых результатах'!E6/(актив!D15/2+актив!E15/2)</f>
        <v>20.163195487451521</v>
      </c>
      <c r="D68" s="109">
        <f t="shared" si="31"/>
        <v>2.6549786577361481</v>
      </c>
      <c r="E68" s="111">
        <f t="shared" si="32"/>
        <v>0.13167449868690023</v>
      </c>
    </row>
    <row r="69" spans="1:7">
      <c r="A69" s="61" t="s">
        <v>105</v>
      </c>
      <c r="B69" s="70">
        <f>360*(актив!C15/2+актив!D15/2)/'отчет о финансовых результатах'!C6</f>
        <v>15.776897735523841</v>
      </c>
      <c r="C69" s="70">
        <f>365*(актив!D15/2+актив!E15/2)/'отчет о финансовых результатах'!E6</f>
        <v>18.102289402845706</v>
      </c>
      <c r="D69" s="109">
        <f t="shared" si="31"/>
        <v>-2.3253916673218651</v>
      </c>
      <c r="E69" s="111">
        <f t="shared" si="32"/>
        <v>-0.12845842951534683</v>
      </c>
    </row>
    <row r="70" spans="1:7" ht="25.5">
      <c r="A70" s="61" t="s">
        <v>106</v>
      </c>
      <c r="B70" s="70">
        <f>'отчет о финансовых результатах'!C3/(актив!C22/2+актив!D22/2)</f>
        <v>1.6526753882392924</v>
      </c>
      <c r="C70" s="70">
        <f>'отчет о финансовых результатах'!E3/(актив!D22/2+актив!E22/2)</f>
        <v>2.1180795229563389</v>
      </c>
      <c r="D70" s="109">
        <f t="shared" si="31"/>
        <v>-0.46540413471704656</v>
      </c>
      <c r="E70" s="111">
        <f t="shared" si="32"/>
        <v>-0.21972930179101693</v>
      </c>
      <c r="F70" s="113"/>
    </row>
    <row r="71" spans="1:7" ht="25.5">
      <c r="A71" s="61" t="s">
        <v>107</v>
      </c>
      <c r="B71" s="70">
        <f>360*(актив!C22/2+актив!D22/2)/'отчет о финансовых результатах'!C3</f>
        <v>217.8286205275511</v>
      </c>
      <c r="C71" s="70">
        <f>360*(актив!D22/2+актив!E22/2)/'отчет о финансовых результатах'!E3</f>
        <v>169.9652898289319</v>
      </c>
      <c r="D71" s="109">
        <f t="shared" si="31"/>
        <v>47.863330698619194</v>
      </c>
      <c r="E71" s="111">
        <f t="shared" si="32"/>
        <v>0.28160650181453567</v>
      </c>
      <c r="F71" s="114"/>
    </row>
    <row r="72" spans="1:7" ht="25.5">
      <c r="A72" s="61" t="s">
        <v>108</v>
      </c>
      <c r="B72" s="70">
        <f>360*(C17/2+D17/2)/'отчет о финансовых результатах'!C3</f>
        <v>123.29698575722269</v>
      </c>
      <c r="C72" s="70">
        <f>360*(D17/2+E17/2)/'отчет о финансовых результатах'!E3</f>
        <v>111.37148652407717</v>
      </c>
      <c r="D72" s="109">
        <f t="shared" si="31"/>
        <v>11.925499233145516</v>
      </c>
      <c r="E72" s="111">
        <f t="shared" si="32"/>
        <v>0.10707856746230433</v>
      </c>
    </row>
    <row r="73" spans="1:7" ht="25.5">
      <c r="A73" s="61" t="s">
        <v>109</v>
      </c>
      <c r="B73" s="70">
        <f>'отчет о финансовых результатах'!C3/(пассив!C9/2+пассив!D9/2)</f>
        <v>0.6472698503697909</v>
      </c>
      <c r="C73" s="70">
        <f>'отчет о финансовых результатах'!E3/(пассив!D9/2+пассив!E9/2)</f>
        <v>0.87873617782849478</v>
      </c>
      <c r="D73" s="109">
        <f t="shared" si="31"/>
        <v>-0.23146632745870388</v>
      </c>
      <c r="E73" s="111">
        <f t="shared" si="32"/>
        <v>-0.26340821431831357</v>
      </c>
    </row>
    <row r="77" spans="1:7" ht="24" customHeight="1"/>
  </sheetData>
  <mergeCells count="37">
    <mergeCell ref="C43:C46"/>
    <mergeCell ref="D43:D46"/>
    <mergeCell ref="E43:F43"/>
    <mergeCell ref="E61:E63"/>
    <mergeCell ref="A60:A63"/>
    <mergeCell ref="B60:B63"/>
    <mergeCell ref="C60:C63"/>
    <mergeCell ref="A43:A46"/>
    <mergeCell ref="L10:L11"/>
    <mergeCell ref="B10:B11"/>
    <mergeCell ref="C10:C11"/>
    <mergeCell ref="D10:D11"/>
    <mergeCell ref="E10:E11"/>
    <mergeCell ref="G43:H43"/>
    <mergeCell ref="E44:E46"/>
    <mergeCell ref="F44:F46"/>
    <mergeCell ref="G44:G46"/>
    <mergeCell ref="H44:H46"/>
    <mergeCell ref="D61:D63"/>
    <mergeCell ref="B43:B46"/>
    <mergeCell ref="L2:L3"/>
    <mergeCell ref="K2:K3"/>
    <mergeCell ref="K10:K11"/>
    <mergeCell ref="J2:J3"/>
    <mergeCell ref="J10:J11"/>
    <mergeCell ref="H2:H3"/>
    <mergeCell ref="I2:I3"/>
    <mergeCell ref="F10:F11"/>
    <mergeCell ref="G10:G11"/>
    <mergeCell ref="H10:H11"/>
    <mergeCell ref="I10:I11"/>
    <mergeCell ref="F2:F3"/>
    <mergeCell ref="B2:B3"/>
    <mergeCell ref="C2:C3"/>
    <mergeCell ref="D2:D3"/>
    <mergeCell ref="E2:E3"/>
    <mergeCell ref="G2:G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A3" sqref="A3"/>
    </sheetView>
  </sheetViews>
  <sheetFormatPr defaultRowHeight="15"/>
  <cols>
    <col min="1" max="1" width="30" customWidth="1"/>
    <col min="5" max="5" width="17.7109375" customWidth="1"/>
  </cols>
  <sheetData>
    <row r="1" spans="1:5">
      <c r="A1" s="189" t="s">
        <v>0</v>
      </c>
      <c r="B1" s="201" t="s">
        <v>1</v>
      </c>
      <c r="C1" s="203" t="s">
        <v>49</v>
      </c>
      <c r="D1" s="204"/>
      <c r="E1" s="9" t="s">
        <v>49</v>
      </c>
    </row>
    <row r="2" spans="1:5" ht="15.75" thickBot="1">
      <c r="A2" s="190"/>
      <c r="B2" s="202"/>
      <c r="C2" s="205" t="s">
        <v>50</v>
      </c>
      <c r="D2" s="206"/>
      <c r="E2" s="5" t="s">
        <v>51</v>
      </c>
    </row>
    <row r="3" spans="1:5" ht="15.75" thickBot="1">
      <c r="A3" s="6" t="s">
        <v>52</v>
      </c>
      <c r="B3" s="2">
        <v>2110</v>
      </c>
      <c r="C3" s="187">
        <v>29565933</v>
      </c>
      <c r="D3" s="188"/>
      <c r="E3" s="4">
        <v>35122270</v>
      </c>
    </row>
    <row r="4" spans="1:5" ht="15.75" thickBot="1">
      <c r="A4" s="10" t="s">
        <v>53</v>
      </c>
      <c r="B4" s="199"/>
      <c r="C4" s="187">
        <v>28121297</v>
      </c>
      <c r="D4" s="188"/>
      <c r="E4" s="4">
        <v>33553732</v>
      </c>
    </row>
    <row r="5" spans="1:5" ht="15.75" thickBot="1">
      <c r="A5" s="11" t="s">
        <v>54</v>
      </c>
      <c r="B5" s="200"/>
      <c r="C5" s="187">
        <v>1444636</v>
      </c>
      <c r="D5" s="188"/>
      <c r="E5" s="4">
        <v>1568538</v>
      </c>
    </row>
    <row r="6" spans="1:5" ht="15.75" thickBot="1">
      <c r="A6" s="1" t="s">
        <v>55</v>
      </c>
      <c r="B6" s="2">
        <v>2120</v>
      </c>
      <c r="C6" s="187">
        <v>34334210</v>
      </c>
      <c r="D6" s="188"/>
      <c r="E6" s="4">
        <v>32521712</v>
      </c>
    </row>
    <row r="7" spans="1:5" ht="15.75" thickBot="1">
      <c r="A7" s="10" t="s">
        <v>53</v>
      </c>
      <c r="B7" s="199"/>
      <c r="C7" s="187">
        <v>34099209</v>
      </c>
      <c r="D7" s="188"/>
      <c r="E7" s="4">
        <v>32299896</v>
      </c>
    </row>
    <row r="8" spans="1:5" ht="15.75" thickBot="1">
      <c r="A8" s="11" t="s">
        <v>56</v>
      </c>
      <c r="B8" s="200"/>
      <c r="C8" s="187">
        <v>235001</v>
      </c>
      <c r="D8" s="188"/>
      <c r="E8" s="4">
        <v>221816</v>
      </c>
    </row>
    <row r="9" spans="1:5" ht="15.75" thickBot="1">
      <c r="A9" s="1" t="s">
        <v>57</v>
      </c>
      <c r="B9" s="2">
        <v>2100</v>
      </c>
      <c r="C9" s="187">
        <v>4768277</v>
      </c>
      <c r="D9" s="188"/>
      <c r="E9" s="4">
        <v>2600558</v>
      </c>
    </row>
    <row r="10" spans="1:5" ht="16.5" thickBot="1">
      <c r="A10" s="1" t="s">
        <v>58</v>
      </c>
      <c r="B10" s="2">
        <v>2210</v>
      </c>
      <c r="C10" s="12"/>
      <c r="D10" s="13">
        <v>839254</v>
      </c>
      <c r="E10" s="4">
        <v>757772</v>
      </c>
    </row>
    <row r="11" spans="1:5" ht="16.5" thickBot="1">
      <c r="A11" s="1" t="s">
        <v>59</v>
      </c>
      <c r="B11" s="2">
        <v>2220</v>
      </c>
      <c r="C11" s="197"/>
      <c r="D11" s="198"/>
      <c r="E11" s="3"/>
    </row>
    <row r="12" spans="1:5" ht="15.75" thickBot="1">
      <c r="A12" s="8" t="s">
        <v>60</v>
      </c>
      <c r="B12" s="2">
        <v>2200</v>
      </c>
      <c r="C12" s="187">
        <v>5607531</v>
      </c>
      <c r="D12" s="188"/>
      <c r="E12" s="4">
        <v>1842786</v>
      </c>
    </row>
    <row r="13" spans="1:5" ht="26.25" thickBot="1">
      <c r="A13" s="1" t="s">
        <v>61</v>
      </c>
      <c r="B13" s="2">
        <v>2310</v>
      </c>
      <c r="C13" s="197"/>
      <c r="D13" s="198"/>
      <c r="E13" s="3"/>
    </row>
    <row r="14" spans="1:5" ht="15.75" thickBot="1">
      <c r="A14" s="1" t="s">
        <v>62</v>
      </c>
      <c r="B14" s="2">
        <v>2320</v>
      </c>
      <c r="C14" s="187">
        <v>10501</v>
      </c>
      <c r="D14" s="188"/>
      <c r="E14" s="4">
        <v>4742</v>
      </c>
    </row>
    <row r="15" spans="1:5" ht="16.5" thickBot="1">
      <c r="A15" s="1" t="s">
        <v>63</v>
      </c>
      <c r="B15" s="2">
        <v>2330</v>
      </c>
      <c r="C15" s="12"/>
      <c r="D15" s="13">
        <v>762386</v>
      </c>
      <c r="E15" s="4">
        <v>913424</v>
      </c>
    </row>
    <row r="16" spans="1:5" ht="15.75" thickBot="1">
      <c r="A16" s="1" t="s">
        <v>64</v>
      </c>
      <c r="B16" s="2">
        <v>2340</v>
      </c>
      <c r="C16" s="187">
        <v>9586970</v>
      </c>
      <c r="D16" s="188"/>
      <c r="E16" s="4">
        <v>2192904</v>
      </c>
    </row>
    <row r="17" spans="1:5" ht="15.75" thickBot="1">
      <c r="A17" s="1" t="s">
        <v>65</v>
      </c>
      <c r="B17" s="2">
        <v>2350</v>
      </c>
      <c r="C17" s="187">
        <v>2518850</v>
      </c>
      <c r="D17" s="188"/>
      <c r="E17" s="4">
        <v>2447382</v>
      </c>
    </row>
    <row r="18" spans="1:5" ht="26.25" thickBot="1">
      <c r="A18" s="8" t="s">
        <v>66</v>
      </c>
      <c r="B18" s="2">
        <v>2300</v>
      </c>
      <c r="C18" s="18">
        <v>708704</v>
      </c>
      <c r="D18" s="19"/>
      <c r="E18" s="15">
        <v>679626</v>
      </c>
    </row>
    <row r="19" spans="1:5" ht="16.5" thickBot="1">
      <c r="A19" s="1" t="s">
        <v>67</v>
      </c>
      <c r="B19" s="2">
        <v>2410</v>
      </c>
      <c r="C19" s="12"/>
      <c r="D19" s="13">
        <v>389549</v>
      </c>
      <c r="E19" s="4">
        <v>448597</v>
      </c>
    </row>
    <row r="20" spans="1:5" ht="25.5">
      <c r="A20" s="10" t="s">
        <v>68</v>
      </c>
      <c r="B20" s="189">
        <v>2421</v>
      </c>
      <c r="C20" s="191">
        <v>292379</v>
      </c>
      <c r="D20" s="192"/>
      <c r="E20" s="195">
        <v>237820</v>
      </c>
    </row>
    <row r="21" spans="1:5" ht="15.75" customHeight="1" thickBot="1">
      <c r="A21" s="14" t="s">
        <v>69</v>
      </c>
      <c r="B21" s="190"/>
      <c r="C21" s="193"/>
      <c r="D21" s="194"/>
      <c r="E21" s="196"/>
    </row>
    <row r="22" spans="1:5" ht="26.25" thickBot="1">
      <c r="A22" s="1" t="s">
        <v>70</v>
      </c>
      <c r="B22" s="2">
        <v>2430</v>
      </c>
      <c r="C22" s="185">
        <v>31009</v>
      </c>
      <c r="D22" s="186"/>
      <c r="E22" s="7">
        <v>975</v>
      </c>
    </row>
    <row r="23" spans="1:5" ht="26.25" thickBot="1">
      <c r="A23" s="1" t="s">
        <v>71</v>
      </c>
      <c r="B23" s="2">
        <v>2450</v>
      </c>
      <c r="C23" s="187">
        <v>13562</v>
      </c>
      <c r="D23" s="188"/>
      <c r="E23" s="4">
        <v>7749</v>
      </c>
    </row>
    <row r="24" spans="1:5" ht="15.75" thickBot="1">
      <c r="A24" s="1" t="s">
        <v>72</v>
      </c>
      <c r="B24" s="2">
        <v>2460</v>
      </c>
      <c r="C24" s="187">
        <v>-1055</v>
      </c>
      <c r="D24" s="188"/>
      <c r="E24" s="4">
        <v>29545</v>
      </c>
    </row>
    <row r="25" spans="1:5" ht="15.75" thickBot="1">
      <c r="A25" s="8" t="s">
        <v>73</v>
      </c>
      <c r="B25" s="2">
        <v>2400</v>
      </c>
      <c r="C25" s="18">
        <v>273529</v>
      </c>
      <c r="D25" s="19"/>
      <c r="E25" s="15">
        <v>251850</v>
      </c>
    </row>
  </sheetData>
  <mergeCells count="25">
    <mergeCell ref="A1:A2"/>
    <mergeCell ref="B1:B2"/>
    <mergeCell ref="C1:D1"/>
    <mergeCell ref="C2:D2"/>
    <mergeCell ref="C3:D3"/>
    <mergeCell ref="B4:B5"/>
    <mergeCell ref="C4:D4"/>
    <mergeCell ref="C5:D5"/>
    <mergeCell ref="C6:D6"/>
    <mergeCell ref="B7:B8"/>
    <mergeCell ref="C7:D7"/>
    <mergeCell ref="C8:D8"/>
    <mergeCell ref="E20:E21"/>
    <mergeCell ref="C9:D9"/>
    <mergeCell ref="C11:D11"/>
    <mergeCell ref="C12:D12"/>
    <mergeCell ref="C13:D13"/>
    <mergeCell ref="C14:D14"/>
    <mergeCell ref="C16:D16"/>
    <mergeCell ref="C22:D22"/>
    <mergeCell ref="C23:D23"/>
    <mergeCell ref="C24:D24"/>
    <mergeCell ref="C17:D17"/>
    <mergeCell ref="B20:B21"/>
    <mergeCell ref="C20:D2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актив</vt:lpstr>
      <vt:lpstr>пассив</vt:lpstr>
      <vt:lpstr>отчет о финансовых результатах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2018-08-26T17:17:48Z</dcterms:modified>
</cp:coreProperties>
</file>